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d3\Desktop\НА САЙТ\2024\проекты решений\февраль\"/>
    </mc:Choice>
  </mc:AlternateContent>
  <bookViews>
    <workbookView xWindow="120" yWindow="150" windowWidth="11820" windowHeight="5760" tabRatio="599"/>
  </bookViews>
  <sheets>
    <sheet name="программы" sheetId="5" r:id="rId1"/>
  </sheets>
  <definedNames>
    <definedName name="_xlnm.Print_Area" localSheetId="0">программы!$B$1:$Z$555</definedName>
  </definedNames>
  <calcPr calcId="162913"/>
</workbook>
</file>

<file path=xl/calcChain.xml><?xml version="1.0" encoding="utf-8"?>
<calcChain xmlns="http://schemas.openxmlformats.org/spreadsheetml/2006/main">
  <c r="O221" i="5" l="1"/>
  <c r="P221" i="5"/>
  <c r="Q221" i="5"/>
  <c r="R221" i="5"/>
  <c r="S221" i="5"/>
  <c r="T221" i="5"/>
  <c r="U221" i="5"/>
  <c r="V221" i="5"/>
  <c r="W221" i="5"/>
  <c r="X221" i="5"/>
  <c r="Y221" i="5"/>
  <c r="Z221" i="5"/>
  <c r="N221" i="5"/>
  <c r="T294" i="5"/>
  <c r="R294" i="5"/>
  <c r="O294" i="5"/>
  <c r="L294" i="5"/>
  <c r="J294" i="5"/>
  <c r="Z293" i="5"/>
  <c r="Z292" i="5" s="1"/>
  <c r="Y293" i="5"/>
  <c r="X293" i="5"/>
  <c r="X292" i="5" s="1"/>
  <c r="W293" i="5"/>
  <c r="V293" i="5"/>
  <c r="V292" i="5" s="1"/>
  <c r="U293" i="5"/>
  <c r="T293" i="5"/>
  <c r="T292" i="5" s="1"/>
  <c r="S293" i="5"/>
  <c r="R293" i="5"/>
  <c r="R292" i="5" s="1"/>
  <c r="Q293" i="5"/>
  <c r="P293" i="5"/>
  <c r="P292" i="5" s="1"/>
  <c r="O293" i="5"/>
  <c r="N293" i="5"/>
  <c r="N292" i="5" s="1"/>
  <c r="M293" i="5"/>
  <c r="L293" i="5"/>
  <c r="L292" i="5" s="1"/>
  <c r="K293" i="5"/>
  <c r="J293" i="5"/>
  <c r="J292" i="5" s="1"/>
  <c r="Y292" i="5"/>
  <c r="W292" i="5"/>
  <c r="U292" i="5"/>
  <c r="S292" i="5"/>
  <c r="Q292" i="5"/>
  <c r="O292" i="5"/>
  <c r="M292" i="5"/>
  <c r="K292" i="5"/>
  <c r="R528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N476" i="5"/>
  <c r="R503" i="5"/>
  <c r="Z502" i="5"/>
  <c r="Y502" i="5"/>
  <c r="X502" i="5"/>
  <c r="W502" i="5"/>
  <c r="V502" i="5"/>
  <c r="U502" i="5"/>
  <c r="T502" i="5"/>
  <c r="S502" i="5"/>
  <c r="R502" i="5"/>
  <c r="R501" i="5" s="1"/>
  <c r="Q502" i="5"/>
  <c r="P502" i="5"/>
  <c r="P501" i="5" s="1"/>
  <c r="O502" i="5"/>
  <c r="N502" i="5"/>
  <c r="N501" i="5" s="1"/>
  <c r="Y501" i="5"/>
  <c r="V501" i="5"/>
  <c r="U501" i="5"/>
  <c r="T501" i="5"/>
  <c r="Q501" i="5"/>
  <c r="O501" i="5"/>
  <c r="R500" i="5"/>
  <c r="Q500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Q498" i="5"/>
  <c r="R498" i="5" s="1"/>
  <c r="R497" i="5" s="1"/>
  <c r="R496" i="5" s="1"/>
  <c r="Z497" i="5"/>
  <c r="Y497" i="5"/>
  <c r="Y496" i="5" s="1"/>
  <c r="X497" i="5"/>
  <c r="W497" i="5"/>
  <c r="W496" i="5" s="1"/>
  <c r="V497" i="5"/>
  <c r="U497" i="5"/>
  <c r="U496" i="5" s="1"/>
  <c r="T497" i="5"/>
  <c r="S497" i="5"/>
  <c r="S496" i="5" s="1"/>
  <c r="Q497" i="5"/>
  <c r="Q496" i="5" s="1"/>
  <c r="P497" i="5"/>
  <c r="O497" i="5"/>
  <c r="O496" i="5" s="1"/>
  <c r="N497" i="5"/>
  <c r="M497" i="5"/>
  <c r="M496" i="5" s="1"/>
  <c r="L497" i="5"/>
  <c r="K497" i="5"/>
  <c r="K496" i="5" s="1"/>
  <c r="J497" i="5"/>
  <c r="Z496" i="5"/>
  <c r="X496" i="5"/>
  <c r="V496" i="5"/>
  <c r="T496" i="5"/>
  <c r="P496" i="5"/>
  <c r="N496" i="5"/>
  <c r="L496" i="5"/>
  <c r="J496" i="5"/>
  <c r="R443" i="5"/>
  <c r="T363" i="5"/>
  <c r="T362" i="5" s="1"/>
  <c r="T361" i="5" s="1"/>
  <c r="Q363" i="5"/>
  <c r="R363" i="5" s="1"/>
  <c r="R362" i="5" s="1"/>
  <c r="R361" i="5" s="1"/>
  <c r="O363" i="5"/>
  <c r="Z362" i="5"/>
  <c r="Z361" i="5" s="1"/>
  <c r="Y362" i="5"/>
  <c r="X362" i="5"/>
  <c r="X361" i="5" s="1"/>
  <c r="W362" i="5"/>
  <c r="W361" i="5" s="1"/>
  <c r="V362" i="5"/>
  <c r="V361" i="5" s="1"/>
  <c r="U362" i="5"/>
  <c r="S362" i="5"/>
  <c r="S361" i="5" s="1"/>
  <c r="P362" i="5"/>
  <c r="O362" i="5"/>
  <c r="O361" i="5" s="1"/>
  <c r="N362" i="5"/>
  <c r="M362" i="5"/>
  <c r="M361" i="5" s="1"/>
  <c r="L362" i="5"/>
  <c r="Y361" i="5"/>
  <c r="U361" i="5"/>
  <c r="P361" i="5"/>
  <c r="N361" i="5"/>
  <c r="L361" i="5"/>
  <c r="Q309" i="5"/>
  <c r="R309" i="5" s="1"/>
  <c r="R314" i="5"/>
  <c r="R311" i="5"/>
  <c r="R259" i="5"/>
  <c r="Z258" i="5"/>
  <c r="Y258" i="5"/>
  <c r="X258" i="5"/>
  <c r="W258" i="5"/>
  <c r="V258" i="5"/>
  <c r="T258" i="5"/>
  <c r="S258" i="5"/>
  <c r="R258" i="5"/>
  <c r="Q258" i="5"/>
  <c r="P258" i="5"/>
  <c r="O258" i="5"/>
  <c r="N258" i="5"/>
  <c r="Z257" i="5"/>
  <c r="Y257" i="5"/>
  <c r="X257" i="5"/>
  <c r="W257" i="5"/>
  <c r="V257" i="5"/>
  <c r="T257" i="5"/>
  <c r="S257" i="5"/>
  <c r="R257" i="5"/>
  <c r="Q257" i="5"/>
  <c r="P257" i="5"/>
  <c r="O257" i="5"/>
  <c r="N257" i="5"/>
  <c r="R218" i="5"/>
  <c r="R217" i="5" s="1"/>
  <c r="Z217" i="5"/>
  <c r="Y217" i="5"/>
  <c r="X217" i="5"/>
  <c r="W217" i="5"/>
  <c r="V217" i="5"/>
  <c r="S217" i="5"/>
  <c r="Q217" i="5"/>
  <c r="N217" i="5"/>
  <c r="R216" i="5"/>
  <c r="R198" i="5"/>
  <c r="R173" i="5"/>
  <c r="R167" i="5"/>
  <c r="Q362" i="5" l="1"/>
  <c r="Q361" i="5" s="1"/>
  <c r="R34" i="5"/>
  <c r="Q31" i="5"/>
  <c r="Q58" i="5" l="1"/>
  <c r="R58" i="5" s="1"/>
  <c r="R57" i="5" s="1"/>
  <c r="R56" i="5" s="1"/>
  <c r="T58" i="5"/>
  <c r="Z57" i="5"/>
  <c r="Y57" i="5"/>
  <c r="X57" i="5"/>
  <c r="W57" i="5"/>
  <c r="V57" i="5"/>
  <c r="T57" i="5"/>
  <c r="S57" i="5"/>
  <c r="P57" i="5"/>
  <c r="O57" i="5"/>
  <c r="N57" i="5"/>
  <c r="M57" i="5"/>
  <c r="L57" i="5"/>
  <c r="Z56" i="5"/>
  <c r="Y56" i="5"/>
  <c r="X56" i="5"/>
  <c r="W56" i="5"/>
  <c r="V56" i="5"/>
  <c r="T56" i="5"/>
  <c r="S56" i="5"/>
  <c r="P56" i="5"/>
  <c r="O56" i="5"/>
  <c r="N56" i="5"/>
  <c r="M56" i="5"/>
  <c r="L56" i="5"/>
  <c r="Q57" i="5" l="1"/>
  <c r="Q56" i="5" s="1"/>
  <c r="X224" i="5" l="1"/>
  <c r="S224" i="5"/>
  <c r="W224" i="5" s="1"/>
  <c r="W223" i="5" s="1"/>
  <c r="W222" i="5" s="1"/>
  <c r="Q224" i="5"/>
  <c r="R224" i="5" s="1"/>
  <c r="R223" i="5" s="1"/>
  <c r="R222" i="5" s="1"/>
  <c r="Y223" i="5"/>
  <c r="Y222" i="5" s="1"/>
  <c r="V223" i="5"/>
  <c r="U223" i="5"/>
  <c r="U222" i="5" s="1"/>
  <c r="T223" i="5"/>
  <c r="T222" i="5" s="1"/>
  <c r="S223" i="5"/>
  <c r="S222" i="5" s="1"/>
  <c r="Q223" i="5"/>
  <c r="Q222" i="5" s="1"/>
  <c r="P223" i="5"/>
  <c r="O223" i="5"/>
  <c r="O222" i="5" s="1"/>
  <c r="N223" i="5"/>
  <c r="N222" i="5" s="1"/>
  <c r="V222" i="5"/>
  <c r="P222" i="5"/>
  <c r="Z287" i="5"/>
  <c r="Z286" i="5" s="1"/>
  <c r="Y287" i="5"/>
  <c r="Y286" i="5" s="1"/>
  <c r="X287" i="5"/>
  <c r="X286" i="5" s="1"/>
  <c r="W287" i="5"/>
  <c r="W286" i="5" s="1"/>
  <c r="V287" i="5"/>
  <c r="V286" i="5" s="1"/>
  <c r="U287" i="5"/>
  <c r="U286" i="5" s="1"/>
  <c r="T287" i="5"/>
  <c r="T286" i="5" s="1"/>
  <c r="S287" i="5"/>
  <c r="S286" i="5" s="1"/>
  <c r="R287" i="5"/>
  <c r="R286" i="5" s="1"/>
  <c r="Q287" i="5"/>
  <c r="Q286" i="5" s="1"/>
  <c r="P287" i="5"/>
  <c r="P286" i="5" s="1"/>
  <c r="O287" i="5"/>
  <c r="O286" i="5" s="1"/>
  <c r="N287" i="5"/>
  <c r="N286" i="5" s="1"/>
  <c r="M287" i="5"/>
  <c r="M286" i="5" s="1"/>
  <c r="L287" i="5"/>
  <c r="L286" i="5" s="1"/>
  <c r="K287" i="5"/>
  <c r="K286" i="5" s="1"/>
  <c r="J287" i="5"/>
  <c r="J286" i="5" s="1"/>
  <c r="Z224" i="5" l="1"/>
  <c r="Z223" i="5" s="1"/>
  <c r="Z222" i="5" s="1"/>
  <c r="X223" i="5"/>
  <c r="X222" i="5" s="1"/>
  <c r="R195" i="5"/>
  <c r="R297" i="5"/>
  <c r="Z296" i="5"/>
  <c r="Y296" i="5"/>
  <c r="Y295" i="5" s="1"/>
  <c r="X296" i="5"/>
  <c r="X295" i="5" s="1"/>
  <c r="W296" i="5"/>
  <c r="V296" i="5"/>
  <c r="T296" i="5"/>
  <c r="T295" i="5" s="1"/>
  <c r="S296" i="5"/>
  <c r="S295" i="5" s="1"/>
  <c r="R296" i="5"/>
  <c r="Q296" i="5"/>
  <c r="P296" i="5"/>
  <c r="P295" i="5" s="1"/>
  <c r="O296" i="5"/>
  <c r="O295" i="5" s="1"/>
  <c r="N296" i="5"/>
  <c r="M296" i="5"/>
  <c r="L296" i="5"/>
  <c r="L295" i="5" s="1"/>
  <c r="Z295" i="5"/>
  <c r="W295" i="5"/>
  <c r="V295" i="5"/>
  <c r="R295" i="5"/>
  <c r="Q295" i="5"/>
  <c r="N295" i="5"/>
  <c r="M295" i="5"/>
  <c r="J20" i="5" l="1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K27" i="5"/>
  <c r="K24" i="5" s="1"/>
  <c r="L27" i="5"/>
  <c r="M27" i="5"/>
  <c r="M24" i="5" s="1"/>
  <c r="N27" i="5"/>
  <c r="P27" i="5"/>
  <c r="Q27" i="5"/>
  <c r="R27" i="5"/>
  <c r="U27" i="5"/>
  <c r="V27" i="5"/>
  <c r="Y27" i="5"/>
  <c r="J28" i="5"/>
  <c r="J27" i="5" s="1"/>
  <c r="O28" i="5"/>
  <c r="O27" i="5" s="1"/>
  <c r="S28" i="5"/>
  <c r="S27" i="5" s="1"/>
  <c r="S24" i="5" s="1"/>
  <c r="T28" i="5"/>
  <c r="T27" i="5" s="1"/>
  <c r="W28" i="5"/>
  <c r="W27" i="5" s="1"/>
  <c r="W24" i="5" s="1"/>
  <c r="X28" i="5"/>
  <c r="X27" i="5" s="1"/>
  <c r="Z28" i="5"/>
  <c r="Z27" i="5" s="1"/>
  <c r="J30" i="5"/>
  <c r="J29" i="5" s="1"/>
  <c r="K30" i="5"/>
  <c r="K29" i="5" s="1"/>
  <c r="L30" i="5"/>
  <c r="L29" i="5" s="1"/>
  <c r="M30" i="5"/>
  <c r="M29" i="5" s="1"/>
  <c r="N30" i="5"/>
  <c r="N29" i="5" s="1"/>
  <c r="O30" i="5"/>
  <c r="O29" i="5" s="1"/>
  <c r="P30" i="5"/>
  <c r="P29" i="5" s="1"/>
  <c r="Q30" i="5"/>
  <c r="Q29" i="5" s="1"/>
  <c r="S30" i="5"/>
  <c r="S29" i="5" s="1"/>
  <c r="T30" i="5"/>
  <c r="T29" i="5" s="1"/>
  <c r="U30" i="5"/>
  <c r="U29" i="5" s="1"/>
  <c r="V30" i="5"/>
  <c r="V29" i="5" s="1"/>
  <c r="W30" i="5"/>
  <c r="W29" i="5" s="1"/>
  <c r="X30" i="5"/>
  <c r="X29" i="5" s="1"/>
  <c r="Y30" i="5"/>
  <c r="Y29" i="5" s="1"/>
  <c r="Z30" i="5"/>
  <c r="Z29" i="5" s="1"/>
  <c r="R31" i="5"/>
  <c r="R30" i="5" s="1"/>
  <c r="R29" i="5" s="1"/>
  <c r="J33" i="5"/>
  <c r="J32" i="5" s="1"/>
  <c r="K33" i="5"/>
  <c r="K32" i="5" s="1"/>
  <c r="L33" i="5"/>
  <c r="L32" i="5" s="1"/>
  <c r="M33" i="5"/>
  <c r="M32" i="5" s="1"/>
  <c r="N33" i="5"/>
  <c r="N32" i="5" s="1"/>
  <c r="O33" i="5"/>
  <c r="O32" i="5" s="1"/>
  <c r="P33" i="5"/>
  <c r="P32" i="5" s="1"/>
  <c r="Q33" i="5"/>
  <c r="Q32" i="5" s="1"/>
  <c r="R33" i="5"/>
  <c r="R32" i="5" s="1"/>
  <c r="S33" i="5"/>
  <c r="S32" i="5" s="1"/>
  <c r="T33" i="5"/>
  <c r="T32" i="5" s="1"/>
  <c r="U33" i="5"/>
  <c r="U32" i="5" s="1"/>
  <c r="V33" i="5"/>
  <c r="V32" i="5" s="1"/>
  <c r="W33" i="5"/>
  <c r="W32" i="5" s="1"/>
  <c r="X33" i="5"/>
  <c r="X32" i="5" s="1"/>
  <c r="Y33" i="5"/>
  <c r="Y32" i="5" s="1"/>
  <c r="Z33" i="5"/>
  <c r="Z32" i="5" s="1"/>
  <c r="K36" i="5"/>
  <c r="K35" i="5" s="1"/>
  <c r="L36" i="5"/>
  <c r="L35" i="5" s="1"/>
  <c r="M36" i="5"/>
  <c r="M35" i="5" s="1"/>
  <c r="N36" i="5"/>
  <c r="N35" i="5" s="1"/>
  <c r="O36" i="5"/>
  <c r="O35" i="5" s="1"/>
  <c r="P36" i="5"/>
  <c r="P35" i="5" s="1"/>
  <c r="Q36" i="5"/>
  <c r="Q35" i="5" s="1"/>
  <c r="S36" i="5"/>
  <c r="S35" i="5" s="1"/>
  <c r="T36" i="5"/>
  <c r="T35" i="5" s="1"/>
  <c r="U36" i="5"/>
  <c r="U35" i="5" s="1"/>
  <c r="V36" i="5"/>
  <c r="V35" i="5" s="1"/>
  <c r="W36" i="5"/>
  <c r="W35" i="5" s="1"/>
  <c r="X36" i="5"/>
  <c r="X35" i="5" s="1"/>
  <c r="Y36" i="5"/>
  <c r="Y35" i="5" s="1"/>
  <c r="Z36" i="5"/>
  <c r="Z35" i="5" s="1"/>
  <c r="J37" i="5"/>
  <c r="J36" i="5" s="1"/>
  <c r="J35" i="5" s="1"/>
  <c r="R37" i="5"/>
  <c r="R36" i="5" s="1"/>
  <c r="R35" i="5" s="1"/>
  <c r="K39" i="5"/>
  <c r="K38" i="5" s="1"/>
  <c r="L39" i="5"/>
  <c r="L38" i="5" s="1"/>
  <c r="M39" i="5"/>
  <c r="M38" i="5" s="1"/>
  <c r="N39" i="5"/>
  <c r="N38" i="5" s="1"/>
  <c r="P39" i="5"/>
  <c r="P38" i="5" s="1"/>
  <c r="Q39" i="5"/>
  <c r="Q38" i="5" s="1"/>
  <c r="S39" i="5"/>
  <c r="S38" i="5" s="1"/>
  <c r="T39" i="5"/>
  <c r="T38" i="5" s="1"/>
  <c r="U39" i="5"/>
  <c r="U38" i="5" s="1"/>
  <c r="V39" i="5"/>
  <c r="V38" i="5" s="1"/>
  <c r="X39" i="5"/>
  <c r="X38" i="5" s="1"/>
  <c r="Y39" i="5"/>
  <c r="Y38" i="5" s="1"/>
  <c r="Z39" i="5"/>
  <c r="Z38" i="5" s="1"/>
  <c r="J40" i="5"/>
  <c r="J39" i="5" s="1"/>
  <c r="J38" i="5" s="1"/>
  <c r="O40" i="5"/>
  <c r="O39" i="5" s="1"/>
  <c r="O38" i="5" s="1"/>
  <c r="R40" i="5"/>
  <c r="R39" i="5" s="1"/>
  <c r="R38" i="5" s="1"/>
  <c r="W40" i="5"/>
  <c r="W39" i="5" s="1"/>
  <c r="W38" i="5" s="1"/>
  <c r="J42" i="5"/>
  <c r="J41" i="5" s="1"/>
  <c r="K42" i="5"/>
  <c r="K41" i="5" s="1"/>
  <c r="L42" i="5"/>
  <c r="L41" i="5" s="1"/>
  <c r="M42" i="5"/>
  <c r="M41" i="5" s="1"/>
  <c r="N42" i="5"/>
  <c r="N41" i="5" s="1"/>
  <c r="O42" i="5"/>
  <c r="O41" i="5" s="1"/>
  <c r="P42" i="5"/>
  <c r="P41" i="5" s="1"/>
  <c r="Q42" i="5"/>
  <c r="Q41" i="5" s="1"/>
  <c r="R42" i="5"/>
  <c r="R41" i="5" s="1"/>
  <c r="S42" i="5"/>
  <c r="S41" i="5" s="1"/>
  <c r="T42" i="5"/>
  <c r="T41" i="5" s="1"/>
  <c r="U42" i="5"/>
  <c r="U41" i="5" s="1"/>
  <c r="V42" i="5"/>
  <c r="V41" i="5" s="1"/>
  <c r="W42" i="5"/>
  <c r="W41" i="5" s="1"/>
  <c r="X42" i="5"/>
  <c r="X41" i="5" s="1"/>
  <c r="Y42" i="5"/>
  <c r="Y41" i="5" s="1"/>
  <c r="Z42" i="5"/>
  <c r="Z41" i="5" s="1"/>
  <c r="L45" i="5"/>
  <c r="L44" i="5" s="1"/>
  <c r="M45" i="5"/>
  <c r="M44" i="5" s="1"/>
  <c r="P45" i="5"/>
  <c r="P44" i="5" s="1"/>
  <c r="Q45" i="5"/>
  <c r="Q44" i="5" s="1"/>
  <c r="T45" i="5"/>
  <c r="T44" i="5" s="1"/>
  <c r="U45" i="5"/>
  <c r="U44" i="5" s="1"/>
  <c r="V45" i="5"/>
  <c r="V44" i="5" s="1"/>
  <c r="X45" i="5"/>
  <c r="X44" i="5" s="1"/>
  <c r="Y45" i="5"/>
  <c r="Y44" i="5" s="1"/>
  <c r="Z45" i="5"/>
  <c r="Z44" i="5" s="1"/>
  <c r="N46" i="5"/>
  <c r="N45" i="5" s="1"/>
  <c r="N44" i="5" s="1"/>
  <c r="O46" i="5"/>
  <c r="O45" i="5" s="1"/>
  <c r="O44" i="5" s="1"/>
  <c r="S46" i="5"/>
  <c r="M48" i="5"/>
  <c r="M47" i="5" s="1"/>
  <c r="O48" i="5"/>
  <c r="O47" i="5" s="1"/>
  <c r="P48" i="5"/>
  <c r="P47" i="5" s="1"/>
  <c r="Q48" i="5"/>
  <c r="Q47" i="5" s="1"/>
  <c r="S48" i="5"/>
  <c r="S47" i="5" s="1"/>
  <c r="T48" i="5"/>
  <c r="T47" i="5" s="1"/>
  <c r="U48" i="5"/>
  <c r="U47" i="5" s="1"/>
  <c r="V48" i="5"/>
  <c r="V47" i="5" s="1"/>
  <c r="W48" i="5"/>
  <c r="W47" i="5" s="1"/>
  <c r="X48" i="5"/>
  <c r="X47" i="5" s="1"/>
  <c r="Y48" i="5"/>
  <c r="Y47" i="5" s="1"/>
  <c r="Z48" i="5"/>
  <c r="Z47" i="5" s="1"/>
  <c r="L49" i="5"/>
  <c r="L48" i="5" s="1"/>
  <c r="L47" i="5" s="1"/>
  <c r="N49" i="5"/>
  <c r="N48" i="5" s="1"/>
  <c r="N47" i="5" s="1"/>
  <c r="J51" i="5"/>
  <c r="J50" i="5" s="1"/>
  <c r="K51" i="5"/>
  <c r="K50" i="5" s="1"/>
  <c r="L51" i="5"/>
  <c r="L50" i="5" s="1"/>
  <c r="M51" i="5"/>
  <c r="M50" i="5" s="1"/>
  <c r="N51" i="5"/>
  <c r="N50" i="5" s="1"/>
  <c r="O51" i="5"/>
  <c r="O50" i="5" s="1"/>
  <c r="P51" i="5"/>
  <c r="P50" i="5" s="1"/>
  <c r="S51" i="5"/>
  <c r="S50" i="5" s="1"/>
  <c r="T51" i="5"/>
  <c r="T50" i="5" s="1"/>
  <c r="V51" i="5"/>
  <c r="V50" i="5" s="1"/>
  <c r="W51" i="5"/>
  <c r="W50" i="5" s="1"/>
  <c r="X51" i="5"/>
  <c r="X50" i="5" s="1"/>
  <c r="Y51" i="5"/>
  <c r="Y50" i="5" s="1"/>
  <c r="Z51" i="5"/>
  <c r="Z50" i="5" s="1"/>
  <c r="Q52" i="5"/>
  <c r="Q51" i="5" s="1"/>
  <c r="Q50" i="5" s="1"/>
  <c r="J54" i="5"/>
  <c r="J53" i="5" s="1"/>
  <c r="K54" i="5"/>
  <c r="K53" i="5" s="1"/>
  <c r="L54" i="5"/>
  <c r="L53" i="5" s="1"/>
  <c r="M54" i="5"/>
  <c r="M53" i="5" s="1"/>
  <c r="N54" i="5"/>
  <c r="N53" i="5" s="1"/>
  <c r="O54" i="5"/>
  <c r="O53" i="5" s="1"/>
  <c r="P54" i="5"/>
  <c r="P53" i="5" s="1"/>
  <c r="S54" i="5"/>
  <c r="S53" i="5" s="1"/>
  <c r="T54" i="5"/>
  <c r="T53" i="5" s="1"/>
  <c r="U54" i="5"/>
  <c r="U53" i="5" s="1"/>
  <c r="V54" i="5"/>
  <c r="V53" i="5" s="1"/>
  <c r="W54" i="5"/>
  <c r="W53" i="5" s="1"/>
  <c r="X54" i="5"/>
  <c r="X53" i="5" s="1"/>
  <c r="Y54" i="5"/>
  <c r="Y53" i="5" s="1"/>
  <c r="Z54" i="5"/>
  <c r="Z53" i="5" s="1"/>
  <c r="Q55" i="5"/>
  <c r="Q54" i="5" s="1"/>
  <c r="Q53" i="5" s="1"/>
  <c r="J62" i="5"/>
  <c r="J61" i="5" s="1"/>
  <c r="K62" i="5"/>
  <c r="K61" i="5" s="1"/>
  <c r="L62" i="5"/>
  <c r="L61" i="5" s="1"/>
  <c r="M62" i="5"/>
  <c r="M61" i="5" s="1"/>
  <c r="O62" i="5"/>
  <c r="O61" i="5" s="1"/>
  <c r="P62" i="5"/>
  <c r="P61" i="5" s="1"/>
  <c r="Q62" i="5"/>
  <c r="Q61" i="5" s="1"/>
  <c r="S62" i="5"/>
  <c r="S61" i="5" s="1"/>
  <c r="T62" i="5"/>
  <c r="T61" i="5" s="1"/>
  <c r="U62" i="5"/>
  <c r="U61" i="5" s="1"/>
  <c r="V62" i="5"/>
  <c r="V61" i="5" s="1"/>
  <c r="W62" i="5"/>
  <c r="W61" i="5" s="1"/>
  <c r="X62" i="5"/>
  <c r="X61" i="5" s="1"/>
  <c r="Y62" i="5"/>
  <c r="Y61" i="5" s="1"/>
  <c r="Z62" i="5"/>
  <c r="Z61" i="5" s="1"/>
  <c r="N63" i="5"/>
  <c r="J65" i="5"/>
  <c r="J64" i="5" s="1"/>
  <c r="K65" i="5"/>
  <c r="K64" i="5" s="1"/>
  <c r="L65" i="5"/>
  <c r="L64" i="5" s="1"/>
  <c r="M65" i="5"/>
  <c r="M64" i="5" s="1"/>
  <c r="N65" i="5"/>
  <c r="N64" i="5" s="1"/>
  <c r="O65" i="5"/>
  <c r="O64" i="5" s="1"/>
  <c r="P65" i="5"/>
  <c r="P64" i="5" s="1"/>
  <c r="Q65" i="5"/>
  <c r="Q64" i="5" s="1"/>
  <c r="S65" i="5"/>
  <c r="S64" i="5" s="1"/>
  <c r="T65" i="5"/>
  <c r="T64" i="5" s="1"/>
  <c r="U65" i="5"/>
  <c r="U64" i="5" s="1"/>
  <c r="V65" i="5"/>
  <c r="V64" i="5" s="1"/>
  <c r="W65" i="5"/>
  <c r="W64" i="5" s="1"/>
  <c r="X65" i="5"/>
  <c r="X64" i="5" s="1"/>
  <c r="Y65" i="5"/>
  <c r="Y64" i="5" s="1"/>
  <c r="Z65" i="5"/>
  <c r="Z64" i="5" s="1"/>
  <c r="R66" i="5"/>
  <c r="R65" i="5" s="1"/>
  <c r="R64" i="5" s="1"/>
  <c r="J68" i="5"/>
  <c r="J67" i="5" s="1"/>
  <c r="K68" i="5"/>
  <c r="K67" i="5" s="1"/>
  <c r="L68" i="5"/>
  <c r="L67" i="5" s="1"/>
  <c r="M68" i="5"/>
  <c r="M67" i="5" s="1"/>
  <c r="N68" i="5"/>
  <c r="N67" i="5" s="1"/>
  <c r="O68" i="5"/>
  <c r="O67" i="5" s="1"/>
  <c r="P68" i="5"/>
  <c r="P67" i="5" s="1"/>
  <c r="Q68" i="5"/>
  <c r="Q67" i="5" s="1"/>
  <c r="R68" i="5"/>
  <c r="R67" i="5" s="1"/>
  <c r="S68" i="5"/>
  <c r="S67" i="5" s="1"/>
  <c r="T68" i="5"/>
  <c r="T67" i="5" s="1"/>
  <c r="U68" i="5"/>
  <c r="U67" i="5" s="1"/>
  <c r="V68" i="5"/>
  <c r="V67" i="5" s="1"/>
  <c r="W68" i="5"/>
  <c r="W67" i="5" s="1"/>
  <c r="X68" i="5"/>
  <c r="X67" i="5" s="1"/>
  <c r="Y68" i="5"/>
  <c r="Y67" i="5" s="1"/>
  <c r="Z68" i="5"/>
  <c r="Z67" i="5" s="1"/>
  <c r="J71" i="5"/>
  <c r="J70" i="5" s="1"/>
  <c r="K71" i="5"/>
  <c r="K70" i="5" s="1"/>
  <c r="Q71" i="5"/>
  <c r="Q70" i="5" s="1"/>
  <c r="R71" i="5"/>
  <c r="R70" i="5" s="1"/>
  <c r="V71" i="5"/>
  <c r="V70" i="5" s="1"/>
  <c r="W71" i="5"/>
  <c r="W70" i="5" s="1"/>
  <c r="Y71" i="5"/>
  <c r="Y70" i="5" s="1"/>
  <c r="Z71" i="5"/>
  <c r="Z70" i="5" s="1"/>
  <c r="L72" i="5"/>
  <c r="L71" i="5" s="1"/>
  <c r="L70" i="5" s="1"/>
  <c r="M72" i="5"/>
  <c r="O72" i="5"/>
  <c r="O71" i="5" s="1"/>
  <c r="O70" i="5" s="1"/>
  <c r="P72" i="5"/>
  <c r="P71" i="5" s="1"/>
  <c r="P70" i="5" s="1"/>
  <c r="T72" i="5"/>
  <c r="T71" i="5" s="1"/>
  <c r="T70" i="5" s="1"/>
  <c r="U72" i="5"/>
  <c r="Q74" i="5"/>
  <c r="Q73" i="5" s="1"/>
  <c r="R74" i="5"/>
  <c r="R73" i="5" s="1"/>
  <c r="V74" i="5"/>
  <c r="V73" i="5" s="1"/>
  <c r="W74" i="5"/>
  <c r="W73" i="5" s="1"/>
  <c r="Y74" i="5"/>
  <c r="Y73" i="5" s="1"/>
  <c r="Z74" i="5"/>
  <c r="Z73" i="5" s="1"/>
  <c r="L75" i="5"/>
  <c r="L74" i="5" s="1"/>
  <c r="L73" i="5" s="1"/>
  <c r="M75" i="5"/>
  <c r="M74" i="5" s="1"/>
  <c r="M73" i="5" s="1"/>
  <c r="O75" i="5"/>
  <c r="O74" i="5" s="1"/>
  <c r="O73" i="5" s="1"/>
  <c r="P75" i="5"/>
  <c r="T75" i="5"/>
  <c r="T74" i="5" s="1"/>
  <c r="T73" i="5" s="1"/>
  <c r="U75" i="5"/>
  <c r="U74" i="5" s="1"/>
  <c r="U73" i="5" s="1"/>
  <c r="J77" i="5"/>
  <c r="J76" i="5" s="1"/>
  <c r="K77" i="5"/>
  <c r="K76" i="5" s="1"/>
  <c r="L77" i="5"/>
  <c r="L76" i="5" s="1"/>
  <c r="M77" i="5"/>
  <c r="M76" i="5" s="1"/>
  <c r="N77" i="5"/>
  <c r="N76" i="5" s="1"/>
  <c r="O77" i="5"/>
  <c r="O76" i="5" s="1"/>
  <c r="P77" i="5"/>
  <c r="P76" i="5" s="1"/>
  <c r="S77" i="5"/>
  <c r="S76" i="5" s="1"/>
  <c r="T77" i="5"/>
  <c r="T76" i="5" s="1"/>
  <c r="U77" i="5"/>
  <c r="U76" i="5" s="1"/>
  <c r="V77" i="5"/>
  <c r="V76" i="5" s="1"/>
  <c r="W77" i="5"/>
  <c r="W76" i="5" s="1"/>
  <c r="X77" i="5"/>
  <c r="X76" i="5" s="1"/>
  <c r="Y77" i="5"/>
  <c r="Y76" i="5" s="1"/>
  <c r="Z77" i="5"/>
  <c r="Z76" i="5" s="1"/>
  <c r="Q78" i="5"/>
  <c r="Q77" i="5" s="1"/>
  <c r="Q76" i="5" s="1"/>
  <c r="J80" i="5"/>
  <c r="J79" i="5" s="1"/>
  <c r="K80" i="5"/>
  <c r="K79" i="5" s="1"/>
  <c r="L80" i="5"/>
  <c r="L79" i="5" s="1"/>
  <c r="M80" i="5"/>
  <c r="M79" i="5" s="1"/>
  <c r="N80" i="5"/>
  <c r="N79" i="5" s="1"/>
  <c r="O80" i="5"/>
  <c r="O79" i="5" s="1"/>
  <c r="P80" i="5"/>
  <c r="P79" i="5" s="1"/>
  <c r="S80" i="5"/>
  <c r="S79" i="5" s="1"/>
  <c r="T80" i="5"/>
  <c r="T79" i="5" s="1"/>
  <c r="U80" i="5"/>
  <c r="U79" i="5" s="1"/>
  <c r="V80" i="5"/>
  <c r="V79" i="5" s="1"/>
  <c r="W80" i="5"/>
  <c r="W79" i="5" s="1"/>
  <c r="X80" i="5"/>
  <c r="X79" i="5" s="1"/>
  <c r="Y80" i="5"/>
  <c r="Y79" i="5" s="1"/>
  <c r="Z80" i="5"/>
  <c r="Z79" i="5" s="1"/>
  <c r="Q81" i="5"/>
  <c r="Q80" i="5" s="1"/>
  <c r="Q79" i="5" s="1"/>
  <c r="J83" i="5"/>
  <c r="K83" i="5"/>
  <c r="J86" i="5"/>
  <c r="J85" i="5" s="1"/>
  <c r="J84" i="5" s="1"/>
  <c r="K86" i="5"/>
  <c r="K85" i="5" s="1"/>
  <c r="K84" i="5" s="1"/>
  <c r="L86" i="5"/>
  <c r="L85" i="5" s="1"/>
  <c r="L84" i="5" s="1"/>
  <c r="M86" i="5"/>
  <c r="M85" i="5" s="1"/>
  <c r="M84" i="5" s="1"/>
  <c r="N86" i="5"/>
  <c r="N85" i="5" s="1"/>
  <c r="N84" i="5" s="1"/>
  <c r="O86" i="5"/>
  <c r="O85" i="5" s="1"/>
  <c r="O84" i="5" s="1"/>
  <c r="P86" i="5"/>
  <c r="P85" i="5" s="1"/>
  <c r="P84" i="5" s="1"/>
  <c r="Q86" i="5"/>
  <c r="Q85" i="5" s="1"/>
  <c r="Q84" i="5" s="1"/>
  <c r="R86" i="5"/>
  <c r="R85" i="5" s="1"/>
  <c r="R84" i="5" s="1"/>
  <c r="S86" i="5"/>
  <c r="S85" i="5" s="1"/>
  <c r="S84" i="5" s="1"/>
  <c r="T86" i="5"/>
  <c r="T85" i="5" s="1"/>
  <c r="T84" i="5" s="1"/>
  <c r="U86" i="5"/>
  <c r="U85" i="5" s="1"/>
  <c r="U84" i="5" s="1"/>
  <c r="V86" i="5"/>
  <c r="V85" i="5" s="1"/>
  <c r="V84" i="5" s="1"/>
  <c r="W86" i="5"/>
  <c r="W85" i="5" s="1"/>
  <c r="W84" i="5" s="1"/>
  <c r="X86" i="5"/>
  <c r="X85" i="5" s="1"/>
  <c r="X84" i="5" s="1"/>
  <c r="Y86" i="5"/>
  <c r="Y85" i="5" s="1"/>
  <c r="Y84" i="5" s="1"/>
  <c r="Z86" i="5"/>
  <c r="Z85" i="5" s="1"/>
  <c r="Z84" i="5" s="1"/>
  <c r="J89" i="5"/>
  <c r="J88" i="5" s="1"/>
  <c r="J87" i="5" s="1"/>
  <c r="K89" i="5"/>
  <c r="K88" i="5" s="1"/>
  <c r="K87" i="5" s="1"/>
  <c r="L89" i="5"/>
  <c r="L88" i="5" s="1"/>
  <c r="L87" i="5" s="1"/>
  <c r="M89" i="5"/>
  <c r="M88" i="5" s="1"/>
  <c r="M87" i="5" s="1"/>
  <c r="N89" i="5"/>
  <c r="N88" i="5" s="1"/>
  <c r="N87" i="5" s="1"/>
  <c r="O89" i="5"/>
  <c r="O88" i="5" s="1"/>
  <c r="O87" i="5" s="1"/>
  <c r="P89" i="5"/>
  <c r="P88" i="5" s="1"/>
  <c r="P87" i="5" s="1"/>
  <c r="Q89" i="5"/>
  <c r="Q88" i="5" s="1"/>
  <c r="Q87" i="5" s="1"/>
  <c r="R89" i="5"/>
  <c r="R88" i="5" s="1"/>
  <c r="R87" i="5" s="1"/>
  <c r="S89" i="5"/>
  <c r="S88" i="5" s="1"/>
  <c r="S87" i="5" s="1"/>
  <c r="T89" i="5"/>
  <c r="T88" i="5" s="1"/>
  <c r="T87" i="5" s="1"/>
  <c r="U89" i="5"/>
  <c r="U88" i="5" s="1"/>
  <c r="U87" i="5" s="1"/>
  <c r="V89" i="5"/>
  <c r="V88" i="5" s="1"/>
  <c r="V87" i="5" s="1"/>
  <c r="W89" i="5"/>
  <c r="W88" i="5" s="1"/>
  <c r="W87" i="5" s="1"/>
  <c r="X89" i="5"/>
  <c r="X88" i="5" s="1"/>
  <c r="X87" i="5" s="1"/>
  <c r="Y89" i="5"/>
  <c r="Y88" i="5" s="1"/>
  <c r="Y87" i="5" s="1"/>
  <c r="Z89" i="5"/>
  <c r="Z88" i="5" s="1"/>
  <c r="Z87" i="5" s="1"/>
  <c r="J92" i="5"/>
  <c r="J91" i="5" s="1"/>
  <c r="J90" i="5" s="1"/>
  <c r="K92" i="5"/>
  <c r="K91" i="5" s="1"/>
  <c r="K90" i="5" s="1"/>
  <c r="L92" i="5"/>
  <c r="L91" i="5" s="1"/>
  <c r="L90" i="5" s="1"/>
  <c r="M92" i="5"/>
  <c r="M91" i="5" s="1"/>
  <c r="M90" i="5" s="1"/>
  <c r="N92" i="5"/>
  <c r="N91" i="5" s="1"/>
  <c r="N90" i="5" s="1"/>
  <c r="O92" i="5"/>
  <c r="O91" i="5" s="1"/>
  <c r="O90" i="5" s="1"/>
  <c r="P92" i="5"/>
  <c r="P91" i="5" s="1"/>
  <c r="P90" i="5" s="1"/>
  <c r="Q92" i="5"/>
  <c r="Q91" i="5" s="1"/>
  <c r="Q90" i="5" s="1"/>
  <c r="R92" i="5"/>
  <c r="R91" i="5" s="1"/>
  <c r="R90" i="5" s="1"/>
  <c r="S92" i="5"/>
  <c r="S91" i="5" s="1"/>
  <c r="S90" i="5" s="1"/>
  <c r="T92" i="5"/>
  <c r="T91" i="5" s="1"/>
  <c r="T90" i="5" s="1"/>
  <c r="U92" i="5"/>
  <c r="U91" i="5" s="1"/>
  <c r="U90" i="5" s="1"/>
  <c r="V92" i="5"/>
  <c r="V91" i="5" s="1"/>
  <c r="V90" i="5" s="1"/>
  <c r="W92" i="5"/>
  <c r="W91" i="5" s="1"/>
  <c r="W90" i="5" s="1"/>
  <c r="X92" i="5"/>
  <c r="X91" i="5" s="1"/>
  <c r="X90" i="5" s="1"/>
  <c r="Y92" i="5"/>
  <c r="Y91" i="5" s="1"/>
  <c r="Y90" i="5" s="1"/>
  <c r="Z92" i="5"/>
  <c r="Z91" i="5" s="1"/>
  <c r="Z90" i="5" s="1"/>
  <c r="J94" i="5"/>
  <c r="J93" i="5" s="1"/>
  <c r="K94" i="5"/>
  <c r="K93" i="5" s="1"/>
  <c r="L94" i="5"/>
  <c r="L93" i="5" s="1"/>
  <c r="M94" i="5"/>
  <c r="M93" i="5" s="1"/>
  <c r="N94" i="5"/>
  <c r="N93" i="5" s="1"/>
  <c r="O94" i="5"/>
  <c r="O93" i="5" s="1"/>
  <c r="P94" i="5"/>
  <c r="P93" i="5" s="1"/>
  <c r="Q94" i="5"/>
  <c r="Q93" i="5" s="1"/>
  <c r="R94" i="5"/>
  <c r="R93" i="5" s="1"/>
  <c r="S94" i="5"/>
  <c r="S93" i="5" s="1"/>
  <c r="T94" i="5"/>
  <c r="T93" i="5" s="1"/>
  <c r="U94" i="5"/>
  <c r="U93" i="5" s="1"/>
  <c r="V94" i="5"/>
  <c r="V93" i="5" s="1"/>
  <c r="W94" i="5"/>
  <c r="W93" i="5" s="1"/>
  <c r="X94" i="5"/>
  <c r="X93" i="5" s="1"/>
  <c r="Y94" i="5"/>
  <c r="Y93" i="5" s="1"/>
  <c r="Z94" i="5"/>
  <c r="Z93" i="5" s="1"/>
  <c r="J97" i="5"/>
  <c r="J96" i="5" s="1"/>
  <c r="K97" i="5"/>
  <c r="K96" i="5" s="1"/>
  <c r="L97" i="5"/>
  <c r="L96" i="5" s="1"/>
  <c r="M97" i="5"/>
  <c r="M96" i="5" s="1"/>
  <c r="N97" i="5"/>
  <c r="N96" i="5" s="1"/>
  <c r="P97" i="5"/>
  <c r="P96" i="5" s="1"/>
  <c r="Q97" i="5"/>
  <c r="Q96" i="5" s="1"/>
  <c r="R97" i="5"/>
  <c r="R96" i="5" s="1"/>
  <c r="U97" i="5"/>
  <c r="U96" i="5" s="1"/>
  <c r="V97" i="5"/>
  <c r="V96" i="5" s="1"/>
  <c r="Y97" i="5"/>
  <c r="Y96" i="5" s="1"/>
  <c r="O98" i="5"/>
  <c r="O97" i="5" s="1"/>
  <c r="O96" i="5" s="1"/>
  <c r="S98" i="5"/>
  <c r="S97" i="5" s="1"/>
  <c r="S96" i="5" s="1"/>
  <c r="T98" i="5"/>
  <c r="T97" i="5" s="1"/>
  <c r="T96" i="5" s="1"/>
  <c r="W98" i="5"/>
  <c r="W97" i="5" s="1"/>
  <c r="W96" i="5" s="1"/>
  <c r="X98" i="5"/>
  <c r="X97" i="5" s="1"/>
  <c r="X96" i="5" s="1"/>
  <c r="Z98" i="5"/>
  <c r="Z97" i="5" s="1"/>
  <c r="Z96" i="5" s="1"/>
  <c r="J100" i="5"/>
  <c r="J99" i="5" s="1"/>
  <c r="K100" i="5"/>
  <c r="K99" i="5" s="1"/>
  <c r="L100" i="5"/>
  <c r="L99" i="5" s="1"/>
  <c r="M100" i="5"/>
  <c r="M99" i="5" s="1"/>
  <c r="N100" i="5"/>
  <c r="N99" i="5" s="1"/>
  <c r="O100" i="5"/>
  <c r="O99" i="5" s="1"/>
  <c r="P100" i="5"/>
  <c r="P99" i="5" s="1"/>
  <c r="Q100" i="5"/>
  <c r="Q99" i="5" s="1"/>
  <c r="R100" i="5"/>
  <c r="R99" i="5" s="1"/>
  <c r="S100" i="5"/>
  <c r="S99" i="5" s="1"/>
  <c r="T100" i="5"/>
  <c r="T99" i="5" s="1"/>
  <c r="U100" i="5"/>
  <c r="U99" i="5" s="1"/>
  <c r="V100" i="5"/>
  <c r="V99" i="5" s="1"/>
  <c r="W100" i="5"/>
  <c r="W99" i="5" s="1"/>
  <c r="X100" i="5"/>
  <c r="X99" i="5" s="1"/>
  <c r="Y100" i="5"/>
  <c r="Y99" i="5" s="1"/>
  <c r="Z100" i="5"/>
  <c r="Z99" i="5" s="1"/>
  <c r="J103" i="5"/>
  <c r="J102" i="5" s="1"/>
  <c r="K103" i="5"/>
  <c r="K102" i="5" s="1"/>
  <c r="L103" i="5"/>
  <c r="L102" i="5" s="1"/>
  <c r="M103" i="5"/>
  <c r="M102" i="5" s="1"/>
  <c r="N103" i="5"/>
  <c r="N102" i="5" s="1"/>
  <c r="O103" i="5"/>
  <c r="O102" i="5" s="1"/>
  <c r="P103" i="5"/>
  <c r="P102" i="5" s="1"/>
  <c r="Q103" i="5"/>
  <c r="Q102" i="5" s="1"/>
  <c r="S103" i="5"/>
  <c r="S102" i="5" s="1"/>
  <c r="T103" i="5"/>
  <c r="T102" i="5" s="1"/>
  <c r="U103" i="5"/>
  <c r="U102" i="5" s="1"/>
  <c r="V103" i="5"/>
  <c r="V102" i="5" s="1"/>
  <c r="W103" i="5"/>
  <c r="W102" i="5" s="1"/>
  <c r="X103" i="5"/>
  <c r="X102" i="5" s="1"/>
  <c r="Y103" i="5"/>
  <c r="Y102" i="5" s="1"/>
  <c r="Z103" i="5"/>
  <c r="Z102" i="5" s="1"/>
  <c r="R104" i="5"/>
  <c r="R103" i="5" s="1"/>
  <c r="R102" i="5" s="1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J113" i="5"/>
  <c r="J112" i="5" s="1"/>
  <c r="K113" i="5"/>
  <c r="K112" i="5" s="1"/>
  <c r="L113" i="5"/>
  <c r="L112" i="5" s="1"/>
  <c r="M113" i="5"/>
  <c r="M112" i="5" s="1"/>
  <c r="O113" i="5"/>
  <c r="O112" i="5" s="1"/>
  <c r="P113" i="5"/>
  <c r="P112" i="5" s="1"/>
  <c r="R113" i="5"/>
  <c r="R112" i="5" s="1"/>
  <c r="S113" i="5"/>
  <c r="S112" i="5" s="1"/>
  <c r="T113" i="5"/>
  <c r="T112" i="5" s="1"/>
  <c r="U113" i="5"/>
  <c r="U112" i="5" s="1"/>
  <c r="V113" i="5"/>
  <c r="V112" i="5" s="1"/>
  <c r="W113" i="5"/>
  <c r="W112" i="5" s="1"/>
  <c r="X113" i="5"/>
  <c r="X112" i="5" s="1"/>
  <c r="Y113" i="5"/>
  <c r="Y112" i="5" s="1"/>
  <c r="Z113" i="5"/>
  <c r="Z112" i="5" s="1"/>
  <c r="N114" i="5"/>
  <c r="N113" i="5" s="1"/>
  <c r="N112" i="5" s="1"/>
  <c r="Q114" i="5"/>
  <c r="Q113" i="5" s="1"/>
  <c r="Q112" i="5" s="1"/>
  <c r="J116" i="5"/>
  <c r="J115" i="5" s="1"/>
  <c r="K116" i="5"/>
  <c r="K115" i="5" s="1"/>
  <c r="M116" i="5"/>
  <c r="M115" i="5" s="1"/>
  <c r="P116" i="5"/>
  <c r="P115" i="5" s="1"/>
  <c r="Q116" i="5"/>
  <c r="Q115" i="5" s="1"/>
  <c r="U116" i="5"/>
  <c r="U115" i="5" s="1"/>
  <c r="V116" i="5"/>
  <c r="V115" i="5" s="1"/>
  <c r="Y116" i="5"/>
  <c r="Y115" i="5" s="1"/>
  <c r="L117" i="5"/>
  <c r="L116" i="5" s="1"/>
  <c r="L115" i="5" s="1"/>
  <c r="N117" i="5"/>
  <c r="N116" i="5" s="1"/>
  <c r="N115" i="5" s="1"/>
  <c r="O117" i="5"/>
  <c r="O116" i="5" s="1"/>
  <c r="O115" i="5" s="1"/>
  <c r="R117" i="5"/>
  <c r="R116" i="5" s="1"/>
  <c r="R115" i="5" s="1"/>
  <c r="S117" i="5"/>
  <c r="S116" i="5" s="1"/>
  <c r="S115" i="5" s="1"/>
  <c r="T117" i="5"/>
  <c r="T116" i="5" s="1"/>
  <c r="T115" i="5" s="1"/>
  <c r="W117" i="5"/>
  <c r="W116" i="5" s="1"/>
  <c r="W115" i="5" s="1"/>
  <c r="X117" i="5"/>
  <c r="X116" i="5" s="1"/>
  <c r="X115" i="5" s="1"/>
  <c r="Z117" i="5"/>
  <c r="Z116" i="5" s="1"/>
  <c r="Z115" i="5" s="1"/>
  <c r="L119" i="5"/>
  <c r="L118" i="5" s="1"/>
  <c r="M119" i="5"/>
  <c r="M118" i="5" s="1"/>
  <c r="O119" i="5"/>
  <c r="O118" i="5" s="1"/>
  <c r="P119" i="5"/>
  <c r="P118" i="5" s="1"/>
  <c r="Q119" i="5"/>
  <c r="Q118" i="5" s="1"/>
  <c r="S119" i="5"/>
  <c r="S118" i="5" s="1"/>
  <c r="T119" i="5"/>
  <c r="T118" i="5" s="1"/>
  <c r="U119" i="5"/>
  <c r="U118" i="5" s="1"/>
  <c r="V119" i="5"/>
  <c r="V118" i="5" s="1"/>
  <c r="W119" i="5"/>
  <c r="W118" i="5" s="1"/>
  <c r="X119" i="5"/>
  <c r="X118" i="5" s="1"/>
  <c r="Y119" i="5"/>
  <c r="Y118" i="5" s="1"/>
  <c r="Z119" i="5"/>
  <c r="Z118" i="5" s="1"/>
  <c r="N120" i="5"/>
  <c r="N119" i="5" s="1"/>
  <c r="N118" i="5" s="1"/>
  <c r="J125" i="5"/>
  <c r="J124" i="5" s="1"/>
  <c r="K125" i="5"/>
  <c r="K124" i="5" s="1"/>
  <c r="L125" i="5"/>
  <c r="L124" i="5" s="1"/>
  <c r="M125" i="5"/>
  <c r="M124" i="5" s="1"/>
  <c r="N125" i="5"/>
  <c r="N124" i="5" s="1"/>
  <c r="P125" i="5"/>
  <c r="P124" i="5" s="1"/>
  <c r="Q125" i="5"/>
  <c r="Q124" i="5" s="1"/>
  <c r="R125" i="5"/>
  <c r="R124" i="5" s="1"/>
  <c r="T125" i="5"/>
  <c r="T124" i="5" s="1"/>
  <c r="U125" i="5"/>
  <c r="U124" i="5" s="1"/>
  <c r="V125" i="5"/>
  <c r="V124" i="5" s="1"/>
  <c r="X125" i="5"/>
  <c r="X124" i="5" s="1"/>
  <c r="Y125" i="5"/>
  <c r="Y124" i="5" s="1"/>
  <c r="Z125" i="5"/>
  <c r="Z124" i="5" s="1"/>
  <c r="O126" i="5"/>
  <c r="O125" i="5" s="1"/>
  <c r="O124" i="5" s="1"/>
  <c r="S126" i="5"/>
  <c r="S125" i="5" s="1"/>
  <c r="S124" i="5" s="1"/>
  <c r="W126" i="5"/>
  <c r="W125" i="5" s="1"/>
  <c r="W124" i="5" s="1"/>
  <c r="J128" i="5"/>
  <c r="J127" i="5" s="1"/>
  <c r="K128" i="5"/>
  <c r="K127" i="5" s="1"/>
  <c r="L128" i="5"/>
  <c r="L127" i="5" s="1"/>
  <c r="M128" i="5"/>
  <c r="M127" i="5" s="1"/>
  <c r="N128" i="5"/>
  <c r="N127" i="5" s="1"/>
  <c r="O128" i="5"/>
  <c r="O127" i="5" s="1"/>
  <c r="P128" i="5"/>
  <c r="P127" i="5" s="1"/>
  <c r="Q128" i="5"/>
  <c r="Q127" i="5" s="1"/>
  <c r="R128" i="5"/>
  <c r="R127" i="5" s="1"/>
  <c r="S128" i="5"/>
  <c r="S127" i="5" s="1"/>
  <c r="T128" i="5"/>
  <c r="T127" i="5" s="1"/>
  <c r="U128" i="5"/>
  <c r="U127" i="5" s="1"/>
  <c r="V128" i="5"/>
  <c r="V127" i="5" s="1"/>
  <c r="W128" i="5"/>
  <c r="W127" i="5" s="1"/>
  <c r="X128" i="5"/>
  <c r="X127" i="5" s="1"/>
  <c r="Y128" i="5"/>
  <c r="Y127" i="5" s="1"/>
  <c r="Z128" i="5"/>
  <c r="Z127" i="5" s="1"/>
  <c r="L131" i="5"/>
  <c r="L130" i="5" s="1"/>
  <c r="M131" i="5"/>
  <c r="M130" i="5" s="1"/>
  <c r="N131" i="5"/>
  <c r="N130" i="5" s="1"/>
  <c r="O131" i="5"/>
  <c r="O130" i="5" s="1"/>
  <c r="P131" i="5"/>
  <c r="P130" i="5" s="1"/>
  <c r="Q131" i="5"/>
  <c r="Q130" i="5" s="1"/>
  <c r="S131" i="5"/>
  <c r="S130" i="5" s="1"/>
  <c r="T131" i="5"/>
  <c r="T130" i="5" s="1"/>
  <c r="U131" i="5"/>
  <c r="U130" i="5" s="1"/>
  <c r="V131" i="5"/>
  <c r="V130" i="5" s="1"/>
  <c r="W131" i="5"/>
  <c r="W130" i="5" s="1"/>
  <c r="X131" i="5"/>
  <c r="X130" i="5" s="1"/>
  <c r="Y131" i="5"/>
  <c r="Y130" i="5" s="1"/>
  <c r="Z131" i="5"/>
  <c r="Z130" i="5" s="1"/>
  <c r="R132" i="5"/>
  <c r="R131" i="5" s="1"/>
  <c r="R130" i="5" s="1"/>
  <c r="J135" i="5"/>
  <c r="J134" i="5" s="1"/>
  <c r="J133" i="5" s="1"/>
  <c r="K135" i="5"/>
  <c r="K134" i="5" s="1"/>
  <c r="K133" i="5" s="1"/>
  <c r="L135" i="5"/>
  <c r="L134" i="5" s="1"/>
  <c r="M135" i="5"/>
  <c r="M134" i="5" s="1"/>
  <c r="N135" i="5"/>
  <c r="N134" i="5" s="1"/>
  <c r="O135" i="5"/>
  <c r="O134" i="5" s="1"/>
  <c r="P135" i="5"/>
  <c r="P134" i="5" s="1"/>
  <c r="Q135" i="5"/>
  <c r="Q134" i="5" s="1"/>
  <c r="R135" i="5"/>
  <c r="R134" i="5" s="1"/>
  <c r="S135" i="5"/>
  <c r="S134" i="5" s="1"/>
  <c r="T135" i="5"/>
  <c r="T134" i="5" s="1"/>
  <c r="U135" i="5"/>
  <c r="U134" i="5" s="1"/>
  <c r="V135" i="5"/>
  <c r="V134" i="5" s="1"/>
  <c r="W135" i="5"/>
  <c r="W134" i="5" s="1"/>
  <c r="X135" i="5"/>
  <c r="X134" i="5" s="1"/>
  <c r="Y135" i="5"/>
  <c r="Y134" i="5" s="1"/>
  <c r="Z135" i="5"/>
  <c r="Z134" i="5" s="1"/>
  <c r="L138" i="5"/>
  <c r="L137" i="5" s="1"/>
  <c r="M138" i="5"/>
  <c r="M137" i="5" s="1"/>
  <c r="N138" i="5"/>
  <c r="N137" i="5" s="1"/>
  <c r="P138" i="5"/>
  <c r="P137" i="5" s="1"/>
  <c r="Q138" i="5"/>
  <c r="Q137" i="5" s="1"/>
  <c r="R138" i="5"/>
  <c r="R137" i="5" s="1"/>
  <c r="T138" i="5"/>
  <c r="T137" i="5" s="1"/>
  <c r="U138" i="5"/>
  <c r="U137" i="5" s="1"/>
  <c r="V138" i="5"/>
  <c r="V137" i="5" s="1"/>
  <c r="X138" i="5"/>
  <c r="X137" i="5" s="1"/>
  <c r="Y138" i="5"/>
  <c r="Y137" i="5" s="1"/>
  <c r="Z138" i="5"/>
  <c r="Z137" i="5" s="1"/>
  <c r="O139" i="5"/>
  <c r="O138" i="5" s="1"/>
  <c r="O137" i="5" s="1"/>
  <c r="S139" i="5"/>
  <c r="S138" i="5" s="1"/>
  <c r="S137" i="5" s="1"/>
  <c r="W139" i="5"/>
  <c r="W138" i="5" s="1"/>
  <c r="W137" i="5" s="1"/>
  <c r="L141" i="5"/>
  <c r="L140" i="5" s="1"/>
  <c r="M141" i="5"/>
  <c r="M140" i="5" s="1"/>
  <c r="N141" i="5"/>
  <c r="N140" i="5" s="1"/>
  <c r="P141" i="5"/>
  <c r="P140" i="5" s="1"/>
  <c r="Q141" i="5"/>
  <c r="Q140" i="5" s="1"/>
  <c r="R141" i="5"/>
  <c r="R140" i="5" s="1"/>
  <c r="S141" i="5"/>
  <c r="S140" i="5" s="1"/>
  <c r="T141" i="5"/>
  <c r="T140" i="5" s="1"/>
  <c r="U141" i="5"/>
  <c r="U140" i="5" s="1"/>
  <c r="V141" i="5"/>
  <c r="V140" i="5" s="1"/>
  <c r="X141" i="5"/>
  <c r="X140" i="5" s="1"/>
  <c r="Y141" i="5"/>
  <c r="Y140" i="5" s="1"/>
  <c r="O142" i="5"/>
  <c r="O141" i="5" s="1"/>
  <c r="O140" i="5" s="1"/>
  <c r="W142" i="5"/>
  <c r="W141" i="5" s="1"/>
  <c r="W140" i="5" s="1"/>
  <c r="Z142" i="5"/>
  <c r="Z141" i="5" s="1"/>
  <c r="Z140" i="5" s="1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J151" i="5"/>
  <c r="J150" i="5" s="1"/>
  <c r="K151" i="5"/>
  <c r="K150" i="5" s="1"/>
  <c r="L151" i="5"/>
  <c r="L150" i="5" s="1"/>
  <c r="M151" i="5"/>
  <c r="M150" i="5" s="1"/>
  <c r="N151" i="5"/>
  <c r="O151" i="5"/>
  <c r="P151" i="5"/>
  <c r="Q151" i="5"/>
  <c r="S151" i="5"/>
  <c r="T151" i="5"/>
  <c r="U151" i="5"/>
  <c r="V151" i="5"/>
  <c r="W151" i="5"/>
  <c r="X151" i="5"/>
  <c r="Y151" i="5"/>
  <c r="Z151" i="5"/>
  <c r="R152" i="5"/>
  <c r="R151" i="5" s="1"/>
  <c r="J153" i="5"/>
  <c r="K153" i="5"/>
  <c r="L153" i="5"/>
  <c r="M153" i="5"/>
  <c r="N153" i="5"/>
  <c r="O153" i="5"/>
  <c r="P153" i="5"/>
  <c r="Q153" i="5"/>
  <c r="S153" i="5"/>
  <c r="T153" i="5"/>
  <c r="U153" i="5"/>
  <c r="V153" i="5"/>
  <c r="W153" i="5"/>
  <c r="X153" i="5"/>
  <c r="Y153" i="5"/>
  <c r="Z153" i="5"/>
  <c r="R154" i="5"/>
  <c r="R153" i="5" s="1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K166" i="5"/>
  <c r="K165" i="5" s="1"/>
  <c r="K164" i="5" s="1"/>
  <c r="L166" i="5"/>
  <c r="L165" i="5" s="1"/>
  <c r="L164" i="5" s="1"/>
  <c r="M166" i="5"/>
  <c r="M165" i="5" s="1"/>
  <c r="M164" i="5" s="1"/>
  <c r="N166" i="5"/>
  <c r="N165" i="5" s="1"/>
  <c r="N164" i="5" s="1"/>
  <c r="O166" i="5"/>
  <c r="O165" i="5" s="1"/>
  <c r="O164" i="5" s="1"/>
  <c r="P166" i="5"/>
  <c r="P165" i="5" s="1"/>
  <c r="P164" i="5" s="1"/>
  <c r="Q166" i="5"/>
  <c r="Q165" i="5" s="1"/>
  <c r="Q164" i="5" s="1"/>
  <c r="R166" i="5"/>
  <c r="R165" i="5" s="1"/>
  <c r="R164" i="5" s="1"/>
  <c r="S166" i="5"/>
  <c r="S165" i="5" s="1"/>
  <c r="S164" i="5" s="1"/>
  <c r="T166" i="5"/>
  <c r="T165" i="5" s="1"/>
  <c r="T164" i="5" s="1"/>
  <c r="U166" i="5"/>
  <c r="U165" i="5" s="1"/>
  <c r="U164" i="5" s="1"/>
  <c r="V166" i="5"/>
  <c r="V165" i="5" s="1"/>
  <c r="V164" i="5" s="1"/>
  <c r="W166" i="5"/>
  <c r="W165" i="5" s="1"/>
  <c r="W164" i="5" s="1"/>
  <c r="X166" i="5"/>
  <c r="X165" i="5" s="1"/>
  <c r="X164" i="5" s="1"/>
  <c r="Y166" i="5"/>
  <c r="Y165" i="5" s="1"/>
  <c r="Y164" i="5" s="1"/>
  <c r="Z166" i="5"/>
  <c r="Z165" i="5" s="1"/>
  <c r="Z164" i="5" s="1"/>
  <c r="J167" i="5"/>
  <c r="J166" i="5" s="1"/>
  <c r="J165" i="5" s="1"/>
  <c r="J164" i="5" s="1"/>
  <c r="J172" i="5"/>
  <c r="J171" i="5" s="1"/>
  <c r="J170" i="5" s="1"/>
  <c r="K172" i="5"/>
  <c r="K171" i="5" s="1"/>
  <c r="K170" i="5" s="1"/>
  <c r="L172" i="5"/>
  <c r="L171" i="5" s="1"/>
  <c r="L170" i="5" s="1"/>
  <c r="M172" i="5"/>
  <c r="M171" i="5" s="1"/>
  <c r="M170" i="5" s="1"/>
  <c r="N172" i="5"/>
  <c r="N171" i="5" s="1"/>
  <c r="N170" i="5" s="1"/>
  <c r="O172" i="5"/>
  <c r="O171" i="5" s="1"/>
  <c r="O170" i="5" s="1"/>
  <c r="P172" i="5"/>
  <c r="P171" i="5" s="1"/>
  <c r="P170" i="5" s="1"/>
  <c r="Q172" i="5"/>
  <c r="Q171" i="5" s="1"/>
  <c r="Q170" i="5" s="1"/>
  <c r="R172" i="5"/>
  <c r="R171" i="5" s="1"/>
  <c r="R170" i="5" s="1"/>
  <c r="S172" i="5"/>
  <c r="S171" i="5" s="1"/>
  <c r="S170" i="5" s="1"/>
  <c r="T172" i="5"/>
  <c r="T171" i="5" s="1"/>
  <c r="T170" i="5" s="1"/>
  <c r="U172" i="5"/>
  <c r="U171" i="5" s="1"/>
  <c r="U170" i="5" s="1"/>
  <c r="V172" i="5"/>
  <c r="V171" i="5" s="1"/>
  <c r="V170" i="5" s="1"/>
  <c r="W172" i="5"/>
  <c r="W171" i="5" s="1"/>
  <c r="W170" i="5" s="1"/>
  <c r="X172" i="5"/>
  <c r="X171" i="5" s="1"/>
  <c r="X170" i="5" s="1"/>
  <c r="Y172" i="5"/>
  <c r="Y171" i="5" s="1"/>
  <c r="Y170" i="5" s="1"/>
  <c r="Z172" i="5"/>
  <c r="Z171" i="5" s="1"/>
  <c r="Z170" i="5" s="1"/>
  <c r="J177" i="5"/>
  <c r="J176" i="5" s="1"/>
  <c r="J175" i="5" s="1"/>
  <c r="K177" i="5"/>
  <c r="K176" i="5" s="1"/>
  <c r="K175" i="5" s="1"/>
  <c r="L177" i="5"/>
  <c r="L176" i="5" s="1"/>
  <c r="L175" i="5" s="1"/>
  <c r="M177" i="5"/>
  <c r="M176" i="5" s="1"/>
  <c r="M175" i="5" s="1"/>
  <c r="N177" i="5"/>
  <c r="N176" i="5" s="1"/>
  <c r="N175" i="5" s="1"/>
  <c r="O177" i="5"/>
  <c r="O176" i="5" s="1"/>
  <c r="O175" i="5" s="1"/>
  <c r="P177" i="5"/>
  <c r="P176" i="5" s="1"/>
  <c r="P175" i="5" s="1"/>
  <c r="Q177" i="5"/>
  <c r="Q176" i="5" s="1"/>
  <c r="Q175" i="5" s="1"/>
  <c r="S177" i="5"/>
  <c r="S176" i="5" s="1"/>
  <c r="S175" i="5" s="1"/>
  <c r="T177" i="5"/>
  <c r="T176" i="5" s="1"/>
  <c r="T175" i="5" s="1"/>
  <c r="U177" i="5"/>
  <c r="U176" i="5" s="1"/>
  <c r="U175" i="5" s="1"/>
  <c r="V177" i="5"/>
  <c r="V176" i="5" s="1"/>
  <c r="V175" i="5" s="1"/>
  <c r="W177" i="5"/>
  <c r="W176" i="5" s="1"/>
  <c r="W175" i="5" s="1"/>
  <c r="X177" i="5"/>
  <c r="X176" i="5" s="1"/>
  <c r="X175" i="5" s="1"/>
  <c r="Y177" i="5"/>
  <c r="Y176" i="5" s="1"/>
  <c r="Y175" i="5" s="1"/>
  <c r="Z177" i="5"/>
  <c r="Z176" i="5" s="1"/>
  <c r="Z175" i="5" s="1"/>
  <c r="R178" i="5"/>
  <c r="R177" i="5" s="1"/>
  <c r="R176" i="5" s="1"/>
  <c r="R175" i="5" s="1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L191" i="5"/>
  <c r="L190" i="5" s="1"/>
  <c r="L189" i="5" s="1"/>
  <c r="M191" i="5"/>
  <c r="M190" i="5" s="1"/>
  <c r="M189" i="5" s="1"/>
  <c r="N191" i="5"/>
  <c r="N190" i="5" s="1"/>
  <c r="P191" i="5"/>
  <c r="P190" i="5" s="1"/>
  <c r="Q191" i="5"/>
  <c r="Q190" i="5" s="1"/>
  <c r="R191" i="5"/>
  <c r="R190" i="5" s="1"/>
  <c r="T191" i="5"/>
  <c r="T190" i="5" s="1"/>
  <c r="U191" i="5"/>
  <c r="U190" i="5" s="1"/>
  <c r="V191" i="5"/>
  <c r="V190" i="5" s="1"/>
  <c r="X191" i="5"/>
  <c r="X190" i="5" s="1"/>
  <c r="Y191" i="5"/>
  <c r="Y190" i="5" s="1"/>
  <c r="Z191" i="5"/>
  <c r="Z190" i="5" s="1"/>
  <c r="O192" i="5"/>
  <c r="O191" i="5" s="1"/>
  <c r="O190" i="5" s="1"/>
  <c r="S192" i="5"/>
  <c r="S191" i="5" s="1"/>
  <c r="S190" i="5" s="1"/>
  <c r="W192" i="5"/>
  <c r="W191" i="5" s="1"/>
  <c r="W190" i="5" s="1"/>
  <c r="J194" i="5"/>
  <c r="J193" i="5" s="1"/>
  <c r="J189" i="5" s="1"/>
  <c r="K194" i="5"/>
  <c r="K193" i="5" s="1"/>
  <c r="K189" i="5" s="1"/>
  <c r="L194" i="5"/>
  <c r="L193" i="5" s="1"/>
  <c r="M194" i="5"/>
  <c r="M193" i="5" s="1"/>
  <c r="N194" i="5"/>
  <c r="N193" i="5" s="1"/>
  <c r="O194" i="5"/>
  <c r="O193" i="5" s="1"/>
  <c r="P194" i="5"/>
  <c r="P193" i="5" s="1"/>
  <c r="Q194" i="5"/>
  <c r="Q193" i="5" s="1"/>
  <c r="R194" i="5"/>
  <c r="R193" i="5" s="1"/>
  <c r="S194" i="5"/>
  <c r="S193" i="5" s="1"/>
  <c r="T194" i="5"/>
  <c r="T193" i="5" s="1"/>
  <c r="U194" i="5"/>
  <c r="U193" i="5" s="1"/>
  <c r="V194" i="5"/>
  <c r="V193" i="5" s="1"/>
  <c r="W194" i="5"/>
  <c r="W193" i="5" s="1"/>
  <c r="X194" i="5"/>
  <c r="X193" i="5" s="1"/>
  <c r="Y194" i="5"/>
  <c r="Y193" i="5" s="1"/>
  <c r="Z194" i="5"/>
  <c r="Z193" i="5" s="1"/>
  <c r="L197" i="5"/>
  <c r="L196" i="5" s="1"/>
  <c r="M197" i="5"/>
  <c r="M196" i="5" s="1"/>
  <c r="N197" i="5"/>
  <c r="N196" i="5" s="1"/>
  <c r="O197" i="5"/>
  <c r="O196" i="5" s="1"/>
  <c r="P197" i="5"/>
  <c r="P196" i="5" s="1"/>
  <c r="Q197" i="5"/>
  <c r="Q196" i="5" s="1"/>
  <c r="R197" i="5"/>
  <c r="R196" i="5" s="1"/>
  <c r="S197" i="5"/>
  <c r="S196" i="5" s="1"/>
  <c r="T197" i="5"/>
  <c r="T196" i="5" s="1"/>
  <c r="U197" i="5"/>
  <c r="U196" i="5" s="1"/>
  <c r="V197" i="5"/>
  <c r="V196" i="5" s="1"/>
  <c r="W197" i="5"/>
  <c r="W196" i="5" s="1"/>
  <c r="X197" i="5"/>
  <c r="X196" i="5" s="1"/>
  <c r="Y197" i="5"/>
  <c r="Y196" i="5" s="1"/>
  <c r="Z197" i="5"/>
  <c r="Z196" i="5" s="1"/>
  <c r="L200" i="5"/>
  <c r="L199" i="5" s="1"/>
  <c r="M200" i="5"/>
  <c r="M199" i="5" s="1"/>
  <c r="N200" i="5"/>
  <c r="N199" i="5" s="1"/>
  <c r="O200" i="5"/>
  <c r="O199" i="5" s="1"/>
  <c r="P200" i="5"/>
  <c r="P199" i="5" s="1"/>
  <c r="Q200" i="5"/>
  <c r="Q199" i="5" s="1"/>
  <c r="S200" i="5"/>
  <c r="S199" i="5" s="1"/>
  <c r="T200" i="5"/>
  <c r="T199" i="5" s="1"/>
  <c r="V200" i="5"/>
  <c r="V199" i="5" s="1"/>
  <c r="W200" i="5"/>
  <c r="W199" i="5" s="1"/>
  <c r="X200" i="5"/>
  <c r="X199" i="5" s="1"/>
  <c r="Y200" i="5"/>
  <c r="Y199" i="5" s="1"/>
  <c r="Z200" i="5"/>
  <c r="Z199" i="5" s="1"/>
  <c r="R201" i="5"/>
  <c r="R200" i="5" s="1"/>
  <c r="R199" i="5" s="1"/>
  <c r="J203" i="5"/>
  <c r="J202" i="5" s="1"/>
  <c r="K203" i="5"/>
  <c r="K202" i="5" s="1"/>
  <c r="L203" i="5"/>
  <c r="L202" i="5" s="1"/>
  <c r="M203" i="5"/>
  <c r="M202" i="5" s="1"/>
  <c r="N203" i="5"/>
  <c r="N202" i="5" s="1"/>
  <c r="O203" i="5"/>
  <c r="O202" i="5" s="1"/>
  <c r="P203" i="5"/>
  <c r="P202" i="5" s="1"/>
  <c r="S203" i="5"/>
  <c r="S202" i="5" s="1"/>
  <c r="T203" i="5"/>
  <c r="T202" i="5" s="1"/>
  <c r="U203" i="5"/>
  <c r="U202" i="5" s="1"/>
  <c r="V203" i="5"/>
  <c r="V202" i="5" s="1"/>
  <c r="W203" i="5"/>
  <c r="W202" i="5" s="1"/>
  <c r="X203" i="5"/>
  <c r="X202" i="5" s="1"/>
  <c r="Y203" i="5"/>
  <c r="Y202" i="5" s="1"/>
  <c r="Z203" i="5"/>
  <c r="Z202" i="5" s="1"/>
  <c r="Q204" i="5"/>
  <c r="Q203" i="5" s="1"/>
  <c r="Q202" i="5" s="1"/>
  <c r="J208" i="5"/>
  <c r="J207" i="5" s="1"/>
  <c r="J206" i="5" s="1"/>
  <c r="K208" i="5"/>
  <c r="K207" i="5" s="1"/>
  <c r="K206" i="5" s="1"/>
  <c r="L208" i="5"/>
  <c r="L207" i="5" s="1"/>
  <c r="L206" i="5" s="1"/>
  <c r="M208" i="5"/>
  <c r="M207" i="5" s="1"/>
  <c r="M206" i="5" s="1"/>
  <c r="P208" i="5"/>
  <c r="P207" i="5" s="1"/>
  <c r="P206" i="5" s="1"/>
  <c r="Q208" i="5"/>
  <c r="Q207" i="5" s="1"/>
  <c r="Q206" i="5" s="1"/>
  <c r="R208" i="5"/>
  <c r="R207" i="5" s="1"/>
  <c r="R206" i="5" s="1"/>
  <c r="U208" i="5"/>
  <c r="U207" i="5" s="1"/>
  <c r="U206" i="5" s="1"/>
  <c r="V208" i="5"/>
  <c r="V207" i="5" s="1"/>
  <c r="V206" i="5" s="1"/>
  <c r="Y208" i="5"/>
  <c r="Y207" i="5" s="1"/>
  <c r="Y206" i="5" s="1"/>
  <c r="N209" i="5"/>
  <c r="N208" i="5" s="1"/>
  <c r="N207" i="5" s="1"/>
  <c r="N206" i="5" s="1"/>
  <c r="O209" i="5"/>
  <c r="O208" i="5" s="1"/>
  <c r="O207" i="5" s="1"/>
  <c r="O206" i="5" s="1"/>
  <c r="S209" i="5"/>
  <c r="S208" i="5" s="1"/>
  <c r="S207" i="5" s="1"/>
  <c r="S206" i="5" s="1"/>
  <c r="T209" i="5"/>
  <c r="T208" i="5" s="1"/>
  <c r="T207" i="5" s="1"/>
  <c r="T206" i="5" s="1"/>
  <c r="W209" i="5"/>
  <c r="W208" i="5" s="1"/>
  <c r="W207" i="5" s="1"/>
  <c r="W206" i="5" s="1"/>
  <c r="X209" i="5"/>
  <c r="X208" i="5" s="1"/>
  <c r="X207" i="5" s="1"/>
  <c r="X206" i="5" s="1"/>
  <c r="Z209" i="5"/>
  <c r="Z208" i="5" s="1"/>
  <c r="Z207" i="5" s="1"/>
  <c r="Z206" i="5" s="1"/>
  <c r="J211" i="5"/>
  <c r="K211" i="5"/>
  <c r="J213" i="5"/>
  <c r="K213" i="5"/>
  <c r="M213" i="5"/>
  <c r="P213" i="5"/>
  <c r="P212" i="5" s="1"/>
  <c r="Q213" i="5"/>
  <c r="U213" i="5"/>
  <c r="V213" i="5"/>
  <c r="Y213" i="5"/>
  <c r="L214" i="5"/>
  <c r="L213" i="5" s="1"/>
  <c r="N214" i="5"/>
  <c r="N213" i="5" s="1"/>
  <c r="O214" i="5"/>
  <c r="O213" i="5" s="1"/>
  <c r="R214" i="5"/>
  <c r="R213" i="5" s="1"/>
  <c r="R212" i="5" s="1"/>
  <c r="S214" i="5"/>
  <c r="S213" i="5" s="1"/>
  <c r="T214" i="5"/>
  <c r="T213" i="5" s="1"/>
  <c r="T212" i="5" s="1"/>
  <c r="W214" i="5"/>
  <c r="W213" i="5" s="1"/>
  <c r="X214" i="5"/>
  <c r="X213" i="5" s="1"/>
  <c r="X212" i="5" s="1"/>
  <c r="Z214" i="5"/>
  <c r="Z213" i="5" s="1"/>
  <c r="J215" i="5"/>
  <c r="K215" i="5"/>
  <c r="L215" i="5"/>
  <c r="M215" i="5"/>
  <c r="N215" i="5"/>
  <c r="P215" i="5"/>
  <c r="Q215" i="5"/>
  <c r="R215" i="5"/>
  <c r="U215" i="5"/>
  <c r="V215" i="5"/>
  <c r="Y215" i="5"/>
  <c r="O216" i="5"/>
  <c r="O215" i="5" s="1"/>
  <c r="S216" i="5"/>
  <c r="S215" i="5" s="1"/>
  <c r="T216" i="5"/>
  <c r="T215" i="5" s="1"/>
  <c r="W216" i="5"/>
  <c r="W215" i="5" s="1"/>
  <c r="X216" i="5"/>
  <c r="X215" i="5" s="1"/>
  <c r="Z216" i="5"/>
  <c r="Z215" i="5" s="1"/>
  <c r="L223" i="5"/>
  <c r="L222" i="5" s="1"/>
  <c r="M223" i="5"/>
  <c r="M222" i="5" s="1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K235" i="5"/>
  <c r="M235" i="5"/>
  <c r="P235" i="5"/>
  <c r="Q235" i="5"/>
  <c r="R235" i="5"/>
  <c r="U235" i="5"/>
  <c r="V235" i="5"/>
  <c r="W235" i="5"/>
  <c r="Y235" i="5"/>
  <c r="Z235" i="5"/>
  <c r="J236" i="5"/>
  <c r="J235" i="5" s="1"/>
  <c r="L236" i="5"/>
  <c r="L235" i="5" s="1"/>
  <c r="O236" i="5"/>
  <c r="O235" i="5" s="1"/>
  <c r="T236" i="5"/>
  <c r="X236" i="5" s="1"/>
  <c r="X235" i="5" s="1"/>
  <c r="K238" i="5"/>
  <c r="K237" i="5" s="1"/>
  <c r="M238" i="5"/>
  <c r="M237" i="5" s="1"/>
  <c r="Q238" i="5"/>
  <c r="Q237" i="5" s="1"/>
  <c r="V238" i="5"/>
  <c r="V237" i="5" s="1"/>
  <c r="W238" i="5"/>
  <c r="W237" i="5" s="1"/>
  <c r="Y238" i="5"/>
  <c r="Y237" i="5" s="1"/>
  <c r="Z238" i="5"/>
  <c r="Z237" i="5" s="1"/>
  <c r="J239" i="5"/>
  <c r="J238" i="5" s="1"/>
  <c r="J237" i="5" s="1"/>
  <c r="L239" i="5"/>
  <c r="L238" i="5" s="1"/>
  <c r="L237" i="5" s="1"/>
  <c r="O239" i="5"/>
  <c r="O238" i="5" s="1"/>
  <c r="O237" i="5" s="1"/>
  <c r="P239" i="5"/>
  <c r="P238" i="5" s="1"/>
  <c r="P237" i="5" s="1"/>
  <c r="T239" i="5"/>
  <c r="T238" i="5" s="1"/>
  <c r="T237" i="5" s="1"/>
  <c r="U239" i="5"/>
  <c r="U238" i="5" s="1"/>
  <c r="U237" i="5" s="1"/>
  <c r="J241" i="5"/>
  <c r="J240" i="5" s="1"/>
  <c r="K241" i="5"/>
  <c r="K240" i="5" s="1"/>
  <c r="M241" i="5"/>
  <c r="M240" i="5" s="1"/>
  <c r="O241" i="5"/>
  <c r="O240" i="5" s="1"/>
  <c r="Q241" i="5"/>
  <c r="Q240" i="5" s="1"/>
  <c r="R241" i="5"/>
  <c r="R240" i="5" s="1"/>
  <c r="T241" i="5"/>
  <c r="T240" i="5" s="1"/>
  <c r="V241" i="5"/>
  <c r="V240" i="5" s="1"/>
  <c r="W241" i="5"/>
  <c r="W240" i="5" s="1"/>
  <c r="Y241" i="5"/>
  <c r="Y240" i="5" s="1"/>
  <c r="L242" i="5"/>
  <c r="L241" i="5" s="1"/>
  <c r="L240" i="5" s="1"/>
  <c r="P242" i="5"/>
  <c r="P241" i="5" s="1"/>
  <c r="P240" i="5" s="1"/>
  <c r="U242" i="5"/>
  <c r="Z242" i="5"/>
  <c r="Z241" i="5" s="1"/>
  <c r="Z240" i="5" s="1"/>
  <c r="J244" i="5"/>
  <c r="J243" i="5" s="1"/>
  <c r="K244" i="5"/>
  <c r="K243" i="5" s="1"/>
  <c r="L244" i="5"/>
  <c r="L243" i="5" s="1"/>
  <c r="M244" i="5"/>
  <c r="M243" i="5" s="1"/>
  <c r="N244" i="5"/>
  <c r="N243" i="5" s="1"/>
  <c r="O244" i="5"/>
  <c r="O243" i="5" s="1"/>
  <c r="P244" i="5"/>
  <c r="P243" i="5" s="1"/>
  <c r="Q244" i="5"/>
  <c r="Q243" i="5" s="1"/>
  <c r="R244" i="5"/>
  <c r="R243" i="5" s="1"/>
  <c r="S244" i="5"/>
  <c r="S243" i="5" s="1"/>
  <c r="T244" i="5"/>
  <c r="T243" i="5" s="1"/>
  <c r="U244" i="5"/>
  <c r="U243" i="5" s="1"/>
  <c r="V244" i="5"/>
  <c r="V243" i="5" s="1"/>
  <c r="W244" i="5"/>
  <c r="W243" i="5" s="1"/>
  <c r="X244" i="5"/>
  <c r="X243" i="5" s="1"/>
  <c r="Y244" i="5"/>
  <c r="Y243" i="5" s="1"/>
  <c r="Z244" i="5"/>
  <c r="Z243" i="5" s="1"/>
  <c r="K247" i="5"/>
  <c r="Q247" i="5"/>
  <c r="R247" i="5"/>
  <c r="V247" i="5"/>
  <c r="W247" i="5"/>
  <c r="Y247" i="5"/>
  <c r="Z247" i="5"/>
  <c r="J248" i="5"/>
  <c r="J247" i="5" s="1"/>
  <c r="L248" i="5"/>
  <c r="L247" i="5" s="1"/>
  <c r="M248" i="5"/>
  <c r="M247" i="5" s="1"/>
  <c r="O248" i="5"/>
  <c r="O247" i="5" s="1"/>
  <c r="P248" i="5"/>
  <c r="P247" i="5" s="1"/>
  <c r="T248" i="5"/>
  <c r="T247" i="5" s="1"/>
  <c r="U248" i="5"/>
  <c r="U247" i="5" s="1"/>
  <c r="N249" i="5"/>
  <c r="Q249" i="5"/>
  <c r="R249" i="5" s="1"/>
  <c r="S249" i="5"/>
  <c r="W249" i="5" s="1"/>
  <c r="X249" i="5"/>
  <c r="N250" i="5"/>
  <c r="Q250" i="5"/>
  <c r="R250" i="5" s="1"/>
  <c r="S250" i="5"/>
  <c r="X250" i="5"/>
  <c r="J251" i="5"/>
  <c r="K251" i="5"/>
  <c r="L251" i="5"/>
  <c r="M251" i="5"/>
  <c r="O251" i="5"/>
  <c r="P251" i="5"/>
  <c r="T251" i="5"/>
  <c r="U251" i="5"/>
  <c r="N252" i="5"/>
  <c r="N251" i="5" s="1"/>
  <c r="Q252" i="5"/>
  <c r="Q251" i="5" s="1"/>
  <c r="S252" i="5"/>
  <c r="X252" i="5"/>
  <c r="X251" i="5" s="1"/>
  <c r="N253" i="5"/>
  <c r="S253" i="5"/>
  <c r="X253" i="5"/>
  <c r="N254" i="5"/>
  <c r="S254" i="5"/>
  <c r="X254" i="5"/>
  <c r="J255" i="5"/>
  <c r="K255" i="5"/>
  <c r="L255" i="5"/>
  <c r="M255" i="5"/>
  <c r="O255" i="5"/>
  <c r="P255" i="5"/>
  <c r="Q255" i="5"/>
  <c r="R255" i="5"/>
  <c r="T255" i="5"/>
  <c r="U255" i="5"/>
  <c r="V255" i="5"/>
  <c r="W255" i="5"/>
  <c r="Y255" i="5"/>
  <c r="Z255" i="5"/>
  <c r="N256" i="5"/>
  <c r="N255" i="5" s="1"/>
  <c r="S256" i="5"/>
  <c r="S255" i="5" s="1"/>
  <c r="X256" i="5"/>
  <c r="X255" i="5" s="1"/>
  <c r="J261" i="5"/>
  <c r="J260" i="5" s="1"/>
  <c r="K261" i="5"/>
  <c r="K260" i="5" s="1"/>
  <c r="L261" i="5"/>
  <c r="L260" i="5" s="1"/>
  <c r="M261" i="5"/>
  <c r="M260" i="5" s="1"/>
  <c r="N261" i="5"/>
  <c r="N260" i="5" s="1"/>
  <c r="O261" i="5"/>
  <c r="O260" i="5" s="1"/>
  <c r="P261" i="5"/>
  <c r="P260" i="5" s="1"/>
  <c r="Q261" i="5"/>
  <c r="Q260" i="5" s="1"/>
  <c r="R261" i="5"/>
  <c r="R260" i="5" s="1"/>
  <c r="S261" i="5"/>
  <c r="S260" i="5" s="1"/>
  <c r="T261" i="5"/>
  <c r="T260" i="5" s="1"/>
  <c r="U261" i="5"/>
  <c r="U260" i="5" s="1"/>
  <c r="V261" i="5"/>
  <c r="V260" i="5" s="1"/>
  <c r="W261" i="5"/>
  <c r="W260" i="5" s="1"/>
  <c r="X261" i="5"/>
  <c r="X260" i="5" s="1"/>
  <c r="Y261" i="5"/>
  <c r="Y260" i="5" s="1"/>
  <c r="Z261" i="5"/>
  <c r="Z260" i="5" s="1"/>
  <c r="K264" i="5"/>
  <c r="K263" i="5" s="1"/>
  <c r="M264" i="5"/>
  <c r="M263" i="5" s="1"/>
  <c r="P264" i="5"/>
  <c r="P263" i="5" s="1"/>
  <c r="Q264" i="5"/>
  <c r="Q263" i="5" s="1"/>
  <c r="U264" i="5"/>
  <c r="U263" i="5" s="1"/>
  <c r="V264" i="5"/>
  <c r="V263" i="5" s="1"/>
  <c r="Y264" i="5"/>
  <c r="Y263" i="5" s="1"/>
  <c r="J265" i="5"/>
  <c r="J264" i="5" s="1"/>
  <c r="J263" i="5" s="1"/>
  <c r="L265" i="5"/>
  <c r="L264" i="5" s="1"/>
  <c r="L263" i="5" s="1"/>
  <c r="N265" i="5"/>
  <c r="N264" i="5" s="1"/>
  <c r="N263" i="5" s="1"/>
  <c r="O265" i="5"/>
  <c r="O264" i="5" s="1"/>
  <c r="O263" i="5" s="1"/>
  <c r="R265" i="5"/>
  <c r="R264" i="5" s="1"/>
  <c r="R263" i="5" s="1"/>
  <c r="S265" i="5"/>
  <c r="S264" i="5" s="1"/>
  <c r="S263" i="5" s="1"/>
  <c r="T265" i="5"/>
  <c r="T264" i="5" s="1"/>
  <c r="T263" i="5" s="1"/>
  <c r="W265" i="5"/>
  <c r="W264" i="5" s="1"/>
  <c r="W263" i="5" s="1"/>
  <c r="X265" i="5"/>
  <c r="X264" i="5" s="1"/>
  <c r="X263" i="5" s="1"/>
  <c r="Z265" i="5"/>
  <c r="Z264" i="5" s="1"/>
  <c r="Z263" i="5" s="1"/>
  <c r="J267" i="5"/>
  <c r="J266" i="5" s="1"/>
  <c r="K267" i="5"/>
  <c r="K266" i="5" s="1"/>
  <c r="L267" i="5"/>
  <c r="L266" i="5" s="1"/>
  <c r="M267" i="5"/>
  <c r="M266" i="5" s="1"/>
  <c r="N267" i="5"/>
  <c r="N266" i="5" s="1"/>
  <c r="O267" i="5"/>
  <c r="O266" i="5" s="1"/>
  <c r="P267" i="5"/>
  <c r="P266" i="5" s="1"/>
  <c r="Q267" i="5"/>
  <c r="Q266" i="5" s="1"/>
  <c r="R267" i="5"/>
  <c r="R266" i="5" s="1"/>
  <c r="S267" i="5"/>
  <c r="S266" i="5" s="1"/>
  <c r="T267" i="5"/>
  <c r="T266" i="5" s="1"/>
  <c r="U267" i="5"/>
  <c r="U266" i="5" s="1"/>
  <c r="V267" i="5"/>
  <c r="V266" i="5" s="1"/>
  <c r="W267" i="5"/>
  <c r="W266" i="5" s="1"/>
  <c r="X267" i="5"/>
  <c r="X266" i="5" s="1"/>
  <c r="Y267" i="5"/>
  <c r="Y266" i="5" s="1"/>
  <c r="Z267" i="5"/>
  <c r="Z266" i="5" s="1"/>
  <c r="J270" i="5"/>
  <c r="J269" i="5" s="1"/>
  <c r="K270" i="5"/>
  <c r="K269" i="5" s="1"/>
  <c r="L270" i="5"/>
  <c r="L269" i="5" s="1"/>
  <c r="M270" i="5"/>
  <c r="M269" i="5" s="1"/>
  <c r="O270" i="5"/>
  <c r="O269" i="5" s="1"/>
  <c r="P270" i="5"/>
  <c r="P269" i="5" s="1"/>
  <c r="Q270" i="5"/>
  <c r="Q269" i="5" s="1"/>
  <c r="R270" i="5"/>
  <c r="R269" i="5" s="1"/>
  <c r="T270" i="5"/>
  <c r="T269" i="5" s="1"/>
  <c r="U270" i="5"/>
  <c r="U269" i="5" s="1"/>
  <c r="V270" i="5"/>
  <c r="V269" i="5" s="1"/>
  <c r="W270" i="5"/>
  <c r="W269" i="5" s="1"/>
  <c r="Y270" i="5"/>
  <c r="Y269" i="5" s="1"/>
  <c r="Z270" i="5"/>
  <c r="Z269" i="5" s="1"/>
  <c r="N271" i="5"/>
  <c r="N270" i="5" s="1"/>
  <c r="N269" i="5" s="1"/>
  <c r="S271" i="5"/>
  <c r="S270" i="5" s="1"/>
  <c r="S269" i="5" s="1"/>
  <c r="X271" i="5"/>
  <c r="X270" i="5" s="1"/>
  <c r="X269" i="5" s="1"/>
  <c r="L273" i="5"/>
  <c r="L272" i="5" s="1"/>
  <c r="N273" i="5"/>
  <c r="N272" i="5" s="1"/>
  <c r="O273" i="5"/>
  <c r="O272" i="5" s="1"/>
  <c r="P273" i="5"/>
  <c r="P272" i="5" s="1"/>
  <c r="Q273" i="5"/>
  <c r="Q272" i="5" s="1"/>
  <c r="S273" i="5"/>
  <c r="S272" i="5" s="1"/>
  <c r="T273" i="5"/>
  <c r="T272" i="5" s="1"/>
  <c r="V273" i="5"/>
  <c r="V272" i="5" s="1"/>
  <c r="W273" i="5"/>
  <c r="W272" i="5" s="1"/>
  <c r="X273" i="5"/>
  <c r="X272" i="5" s="1"/>
  <c r="Y273" i="5"/>
  <c r="Y272" i="5" s="1"/>
  <c r="Z273" i="5"/>
  <c r="Z272" i="5" s="1"/>
  <c r="M274" i="5"/>
  <c r="M273" i="5" s="1"/>
  <c r="M272" i="5" s="1"/>
  <c r="R274" i="5"/>
  <c r="R273" i="5" s="1"/>
  <c r="R272" i="5" s="1"/>
  <c r="O275" i="5"/>
  <c r="P275" i="5"/>
  <c r="T275" i="5"/>
  <c r="U275" i="5"/>
  <c r="N276" i="5"/>
  <c r="Q276" i="5"/>
  <c r="S276" i="5"/>
  <c r="V276" i="5"/>
  <c r="X276" i="5"/>
  <c r="Y276" i="5"/>
  <c r="Z276" i="5"/>
  <c r="R277" i="5"/>
  <c r="R276" i="5" s="1"/>
  <c r="W277" i="5"/>
  <c r="W276" i="5" s="1"/>
  <c r="N278" i="5"/>
  <c r="S278" i="5"/>
  <c r="S275" i="5" s="1"/>
  <c r="V278" i="5"/>
  <c r="V275" i="5" s="1"/>
  <c r="X278" i="5"/>
  <c r="X275" i="5" s="1"/>
  <c r="Y278" i="5"/>
  <c r="Y275" i="5" s="1"/>
  <c r="Z278" i="5"/>
  <c r="Z275" i="5" s="1"/>
  <c r="Q279" i="5"/>
  <c r="Q278" i="5" s="1"/>
  <c r="W279" i="5"/>
  <c r="W278" i="5" s="1"/>
  <c r="W275" i="5" s="1"/>
  <c r="K281" i="5"/>
  <c r="K280" i="5" s="1"/>
  <c r="M281" i="5"/>
  <c r="M280" i="5" s="1"/>
  <c r="P281" i="5"/>
  <c r="P280" i="5" s="1"/>
  <c r="Q281" i="5"/>
  <c r="Q280" i="5" s="1"/>
  <c r="R281" i="5"/>
  <c r="R280" i="5" s="1"/>
  <c r="U281" i="5"/>
  <c r="U280" i="5" s="1"/>
  <c r="V281" i="5"/>
  <c r="V280" i="5" s="1"/>
  <c r="W281" i="5"/>
  <c r="W280" i="5" s="1"/>
  <c r="Y281" i="5"/>
  <c r="Y280" i="5" s="1"/>
  <c r="Z281" i="5"/>
  <c r="Z280" i="5" s="1"/>
  <c r="J282" i="5"/>
  <c r="J281" i="5" s="1"/>
  <c r="J280" i="5" s="1"/>
  <c r="L282" i="5"/>
  <c r="L281" i="5" s="1"/>
  <c r="L280" i="5" s="1"/>
  <c r="O282" i="5"/>
  <c r="O281" i="5" s="1"/>
  <c r="O280" i="5" s="1"/>
  <c r="T282" i="5"/>
  <c r="T281" i="5" s="1"/>
  <c r="T280" i="5" s="1"/>
  <c r="L284" i="5"/>
  <c r="L283" i="5" s="1"/>
  <c r="M284" i="5"/>
  <c r="M283" i="5" s="1"/>
  <c r="N284" i="5"/>
  <c r="N283" i="5" s="1"/>
  <c r="O284" i="5"/>
  <c r="O283" i="5" s="1"/>
  <c r="P284" i="5"/>
  <c r="P283" i="5" s="1"/>
  <c r="Q284" i="5"/>
  <c r="Q283" i="5" s="1"/>
  <c r="R284" i="5"/>
  <c r="R283" i="5" s="1"/>
  <c r="S284" i="5"/>
  <c r="S283" i="5" s="1"/>
  <c r="T284" i="5"/>
  <c r="T283" i="5" s="1"/>
  <c r="V284" i="5"/>
  <c r="V283" i="5" s="1"/>
  <c r="W284" i="5"/>
  <c r="W283" i="5" s="1"/>
  <c r="X284" i="5"/>
  <c r="X283" i="5" s="1"/>
  <c r="Y284" i="5"/>
  <c r="Y283" i="5" s="1"/>
  <c r="Z284" i="5"/>
  <c r="Z283" i="5" s="1"/>
  <c r="K290" i="5"/>
  <c r="K289" i="5" s="1"/>
  <c r="M290" i="5"/>
  <c r="M289" i="5" s="1"/>
  <c r="N290" i="5"/>
  <c r="N289" i="5" s="1"/>
  <c r="P290" i="5"/>
  <c r="P289" i="5" s="1"/>
  <c r="Q290" i="5"/>
  <c r="Q289" i="5" s="1"/>
  <c r="S290" i="5"/>
  <c r="S289" i="5" s="1"/>
  <c r="U290" i="5"/>
  <c r="U289" i="5" s="1"/>
  <c r="V290" i="5"/>
  <c r="V289" i="5" s="1"/>
  <c r="X290" i="5"/>
  <c r="X289" i="5" s="1"/>
  <c r="Y290" i="5"/>
  <c r="Y289" i="5" s="1"/>
  <c r="J291" i="5"/>
  <c r="J290" i="5" s="1"/>
  <c r="J289" i="5" s="1"/>
  <c r="L291" i="5"/>
  <c r="L290" i="5" s="1"/>
  <c r="L289" i="5" s="1"/>
  <c r="O291" i="5"/>
  <c r="O290" i="5" s="1"/>
  <c r="O289" i="5" s="1"/>
  <c r="R291" i="5"/>
  <c r="R290" i="5" s="1"/>
  <c r="R289" i="5" s="1"/>
  <c r="T291" i="5"/>
  <c r="T290" i="5" s="1"/>
  <c r="T289" i="5" s="1"/>
  <c r="W291" i="5"/>
  <c r="W290" i="5" s="1"/>
  <c r="W289" i="5" s="1"/>
  <c r="Z291" i="5"/>
  <c r="Z290" i="5" s="1"/>
  <c r="Z289" i="5" s="1"/>
  <c r="K299" i="5"/>
  <c r="K298" i="5" s="1"/>
  <c r="M299" i="5"/>
  <c r="M298" i="5" s="1"/>
  <c r="P299" i="5"/>
  <c r="P298" i="5" s="1"/>
  <c r="Q299" i="5"/>
  <c r="Q298" i="5" s="1"/>
  <c r="U299" i="5"/>
  <c r="U298" i="5" s="1"/>
  <c r="V299" i="5"/>
  <c r="V298" i="5" s="1"/>
  <c r="Y299" i="5"/>
  <c r="Y298" i="5" s="1"/>
  <c r="J300" i="5"/>
  <c r="J299" i="5" s="1"/>
  <c r="J298" i="5" s="1"/>
  <c r="L300" i="5"/>
  <c r="L299" i="5" s="1"/>
  <c r="L298" i="5" s="1"/>
  <c r="N300" i="5"/>
  <c r="N299" i="5" s="1"/>
  <c r="N298" i="5" s="1"/>
  <c r="O300" i="5"/>
  <c r="O299" i="5" s="1"/>
  <c r="O298" i="5" s="1"/>
  <c r="R300" i="5"/>
  <c r="R299" i="5" s="1"/>
  <c r="R298" i="5" s="1"/>
  <c r="S300" i="5"/>
  <c r="S299" i="5" s="1"/>
  <c r="S298" i="5" s="1"/>
  <c r="T300" i="5"/>
  <c r="T299" i="5" s="1"/>
  <c r="T298" i="5" s="1"/>
  <c r="W300" i="5"/>
  <c r="W299" i="5" s="1"/>
  <c r="W298" i="5" s="1"/>
  <c r="X300" i="5"/>
  <c r="X299" i="5" s="1"/>
  <c r="X298" i="5" s="1"/>
  <c r="Z300" i="5"/>
  <c r="Z299" i="5" s="1"/>
  <c r="Z298" i="5" s="1"/>
  <c r="J302" i="5"/>
  <c r="J301" i="5" s="1"/>
  <c r="K302" i="5"/>
  <c r="K301" i="5" s="1"/>
  <c r="L302" i="5"/>
  <c r="L301" i="5" s="1"/>
  <c r="M302" i="5"/>
  <c r="M301" i="5" s="1"/>
  <c r="N302" i="5"/>
  <c r="N301" i="5" s="1"/>
  <c r="O302" i="5"/>
  <c r="O301" i="5" s="1"/>
  <c r="P302" i="5"/>
  <c r="P301" i="5" s="1"/>
  <c r="Q302" i="5"/>
  <c r="Q301" i="5" s="1"/>
  <c r="S302" i="5"/>
  <c r="S301" i="5" s="1"/>
  <c r="V302" i="5"/>
  <c r="V301" i="5" s="1"/>
  <c r="W302" i="5"/>
  <c r="W301" i="5" s="1"/>
  <c r="X302" i="5"/>
  <c r="X301" i="5" s="1"/>
  <c r="Y302" i="5"/>
  <c r="Y301" i="5" s="1"/>
  <c r="R303" i="5"/>
  <c r="R302" i="5" s="1"/>
  <c r="R301" i="5" s="1"/>
  <c r="T303" i="5"/>
  <c r="T302" i="5" s="1"/>
  <c r="T301" i="5" s="1"/>
  <c r="Z303" i="5"/>
  <c r="Z302" i="5" s="1"/>
  <c r="Z301" i="5" s="1"/>
  <c r="J308" i="5"/>
  <c r="K308" i="5"/>
  <c r="L308" i="5"/>
  <c r="M308" i="5"/>
  <c r="N308" i="5"/>
  <c r="P308" i="5"/>
  <c r="Q308" i="5"/>
  <c r="R308" i="5"/>
  <c r="U308" i="5"/>
  <c r="V308" i="5"/>
  <c r="Y308" i="5"/>
  <c r="O309" i="5"/>
  <c r="O308" i="5" s="1"/>
  <c r="S308" i="5"/>
  <c r="T309" i="5"/>
  <c r="T308" i="5" s="1"/>
  <c r="W309" i="5"/>
  <c r="W308" i="5" s="1"/>
  <c r="X309" i="5"/>
  <c r="X308" i="5" s="1"/>
  <c r="Z309" i="5"/>
  <c r="Z308" i="5" s="1"/>
  <c r="J310" i="5"/>
  <c r="K310" i="5"/>
  <c r="L310" i="5"/>
  <c r="M310" i="5"/>
  <c r="N310" i="5"/>
  <c r="O310" i="5"/>
  <c r="P310" i="5"/>
  <c r="Q310" i="5"/>
  <c r="Q307" i="5" s="1"/>
  <c r="R310" i="5"/>
  <c r="S310" i="5"/>
  <c r="T310" i="5"/>
  <c r="U310" i="5"/>
  <c r="V310" i="5"/>
  <c r="W310" i="5"/>
  <c r="X310" i="5"/>
  <c r="Y310" i="5"/>
  <c r="Y307" i="5" s="1"/>
  <c r="Z310" i="5"/>
  <c r="J313" i="5"/>
  <c r="J312" i="5" s="1"/>
  <c r="K313" i="5"/>
  <c r="K312" i="5" s="1"/>
  <c r="L313" i="5"/>
  <c r="L312" i="5" s="1"/>
  <c r="M313" i="5"/>
  <c r="M312" i="5" s="1"/>
  <c r="N313" i="5"/>
  <c r="N312" i="5" s="1"/>
  <c r="P313" i="5"/>
  <c r="P312" i="5" s="1"/>
  <c r="Q313" i="5"/>
  <c r="Q312" i="5" s="1"/>
  <c r="R313" i="5"/>
  <c r="R312" i="5" s="1"/>
  <c r="U313" i="5"/>
  <c r="U312" i="5" s="1"/>
  <c r="V313" i="5"/>
  <c r="V312" i="5" s="1"/>
  <c r="Y313" i="5"/>
  <c r="Y312" i="5" s="1"/>
  <c r="O314" i="5"/>
  <c r="O313" i="5" s="1"/>
  <c r="O312" i="5" s="1"/>
  <c r="S314" i="5"/>
  <c r="S313" i="5" s="1"/>
  <c r="S312" i="5" s="1"/>
  <c r="T314" i="5"/>
  <c r="T313" i="5" s="1"/>
  <c r="T312" i="5" s="1"/>
  <c r="W314" i="5"/>
  <c r="W313" i="5" s="1"/>
  <c r="W312" i="5" s="1"/>
  <c r="X314" i="5"/>
  <c r="X313" i="5" s="1"/>
  <c r="X312" i="5" s="1"/>
  <c r="Z314" i="5"/>
  <c r="Z313" i="5" s="1"/>
  <c r="Z312" i="5" s="1"/>
  <c r="J316" i="5"/>
  <c r="J315" i="5" s="1"/>
  <c r="K316" i="5"/>
  <c r="K315" i="5" s="1"/>
  <c r="L316" i="5"/>
  <c r="L315" i="5" s="1"/>
  <c r="M316" i="5"/>
  <c r="M315" i="5" s="1"/>
  <c r="N316" i="5"/>
  <c r="N315" i="5" s="1"/>
  <c r="O316" i="5"/>
  <c r="O315" i="5" s="1"/>
  <c r="P316" i="5"/>
  <c r="P315" i="5" s="1"/>
  <c r="Q316" i="5"/>
  <c r="Q315" i="5" s="1"/>
  <c r="R316" i="5"/>
  <c r="R315" i="5" s="1"/>
  <c r="S316" i="5"/>
  <c r="S315" i="5" s="1"/>
  <c r="T316" i="5"/>
  <c r="T315" i="5" s="1"/>
  <c r="U316" i="5"/>
  <c r="U315" i="5" s="1"/>
  <c r="V316" i="5"/>
  <c r="V315" i="5" s="1"/>
  <c r="W316" i="5"/>
  <c r="W315" i="5" s="1"/>
  <c r="X316" i="5"/>
  <c r="X315" i="5" s="1"/>
  <c r="Y316" i="5"/>
  <c r="Y315" i="5" s="1"/>
  <c r="Z316" i="5"/>
  <c r="Z315" i="5" s="1"/>
  <c r="L318" i="5"/>
  <c r="O318" i="5"/>
  <c r="T318" i="5"/>
  <c r="P319" i="5"/>
  <c r="P318" i="5" s="1"/>
  <c r="R319" i="5"/>
  <c r="R318" i="5" s="1"/>
  <c r="U319" i="5"/>
  <c r="U318" i="5" s="1"/>
  <c r="L320" i="5"/>
  <c r="M320" i="5"/>
  <c r="M319" i="5" s="1"/>
  <c r="M318" i="5" s="1"/>
  <c r="O320" i="5"/>
  <c r="Q320" i="5"/>
  <c r="Q319" i="5" s="1"/>
  <c r="Q318" i="5" s="1"/>
  <c r="S320" i="5"/>
  <c r="S319" i="5" s="1"/>
  <c r="S318" i="5" s="1"/>
  <c r="T320" i="5"/>
  <c r="W320" i="5" s="1"/>
  <c r="V320" i="5"/>
  <c r="V319" i="5" s="1"/>
  <c r="V318" i="5" s="1"/>
  <c r="X320" i="5"/>
  <c r="X319" i="5" s="1"/>
  <c r="X318" i="5" s="1"/>
  <c r="L325" i="5"/>
  <c r="L324" i="5" s="1"/>
  <c r="M325" i="5"/>
  <c r="M324" i="5" s="1"/>
  <c r="N325" i="5"/>
  <c r="N324" i="5" s="1"/>
  <c r="O325" i="5"/>
  <c r="O324" i="5" s="1"/>
  <c r="P325" i="5"/>
  <c r="P324" i="5" s="1"/>
  <c r="Q325" i="5"/>
  <c r="Q324" i="5" s="1"/>
  <c r="R325" i="5"/>
  <c r="R324" i="5" s="1"/>
  <c r="S325" i="5"/>
  <c r="S324" i="5" s="1"/>
  <c r="T325" i="5"/>
  <c r="T324" i="5" s="1"/>
  <c r="U325" i="5"/>
  <c r="U324" i="5" s="1"/>
  <c r="V325" i="5"/>
  <c r="V324" i="5" s="1"/>
  <c r="W325" i="5"/>
  <c r="W324" i="5" s="1"/>
  <c r="X325" i="5"/>
  <c r="X324" i="5" s="1"/>
  <c r="Y325" i="5"/>
  <c r="Y324" i="5" s="1"/>
  <c r="Z325" i="5"/>
  <c r="Z324" i="5" s="1"/>
  <c r="J328" i="5"/>
  <c r="K328" i="5"/>
  <c r="L328" i="5"/>
  <c r="M328" i="5"/>
  <c r="N328" i="5"/>
  <c r="P328" i="5"/>
  <c r="Q328" i="5"/>
  <c r="R328" i="5"/>
  <c r="U328" i="5"/>
  <c r="V328" i="5"/>
  <c r="Y328" i="5"/>
  <c r="O329" i="5"/>
  <c r="O328" i="5" s="1"/>
  <c r="S329" i="5"/>
  <c r="S328" i="5" s="1"/>
  <c r="T329" i="5"/>
  <c r="T328" i="5" s="1"/>
  <c r="W329" i="5"/>
  <c r="W328" i="5" s="1"/>
  <c r="X329" i="5"/>
  <c r="X328" i="5" s="1"/>
  <c r="Z329" i="5"/>
  <c r="Z328" i="5" s="1"/>
  <c r="J330" i="5"/>
  <c r="K330" i="5"/>
  <c r="L330" i="5"/>
  <c r="M330" i="5"/>
  <c r="N330" i="5"/>
  <c r="P330" i="5"/>
  <c r="Q330" i="5"/>
  <c r="R330" i="5"/>
  <c r="U330" i="5"/>
  <c r="V330" i="5"/>
  <c r="Y330" i="5"/>
  <c r="O331" i="5"/>
  <c r="O330" i="5" s="1"/>
  <c r="S331" i="5"/>
  <c r="S330" i="5" s="1"/>
  <c r="T331" i="5"/>
  <c r="T330" i="5" s="1"/>
  <c r="W331" i="5"/>
  <c r="W330" i="5" s="1"/>
  <c r="X331" i="5"/>
  <c r="X330" i="5" s="1"/>
  <c r="Z331" i="5"/>
  <c r="Z330" i="5" s="1"/>
  <c r="L333" i="5"/>
  <c r="L332" i="5" s="1"/>
  <c r="O333" i="5"/>
  <c r="O332" i="5" s="1"/>
  <c r="P333" i="5"/>
  <c r="P332" i="5" s="1"/>
  <c r="R333" i="5"/>
  <c r="R332" i="5" s="1"/>
  <c r="S333" i="5"/>
  <c r="S332" i="5" s="1"/>
  <c r="T333" i="5"/>
  <c r="T332" i="5" s="1"/>
  <c r="U333" i="5"/>
  <c r="U332" i="5" s="1"/>
  <c r="V333" i="5"/>
  <c r="V332" i="5" s="1"/>
  <c r="W333" i="5"/>
  <c r="W332" i="5" s="1"/>
  <c r="X333" i="5"/>
  <c r="X332" i="5" s="1"/>
  <c r="Y333" i="5"/>
  <c r="Y332" i="5" s="1"/>
  <c r="Z333" i="5"/>
  <c r="Z332" i="5" s="1"/>
  <c r="M334" i="5"/>
  <c r="M333" i="5" s="1"/>
  <c r="M332" i="5" s="1"/>
  <c r="Q334" i="5"/>
  <c r="Q333" i="5" s="1"/>
  <c r="Q332" i="5" s="1"/>
  <c r="N336" i="5"/>
  <c r="O336" i="5"/>
  <c r="P336" i="5"/>
  <c r="Q336" i="5"/>
  <c r="S336" i="5"/>
  <c r="T336" i="5"/>
  <c r="U336" i="5"/>
  <c r="V336" i="5"/>
  <c r="W336" i="5"/>
  <c r="X336" i="5"/>
  <c r="Y336" i="5"/>
  <c r="Z336" i="5"/>
  <c r="R337" i="5"/>
  <c r="R336" i="5" s="1"/>
  <c r="N338" i="5"/>
  <c r="O338" i="5"/>
  <c r="P338" i="5"/>
  <c r="Q338" i="5"/>
  <c r="S338" i="5"/>
  <c r="T338" i="5"/>
  <c r="U338" i="5"/>
  <c r="V338" i="5"/>
  <c r="W338" i="5"/>
  <c r="X338" i="5"/>
  <c r="Y338" i="5"/>
  <c r="Z338" i="5"/>
  <c r="R339" i="5"/>
  <c r="R338" i="5" s="1"/>
  <c r="L340" i="5"/>
  <c r="L335" i="5" s="1"/>
  <c r="N340" i="5"/>
  <c r="O340" i="5"/>
  <c r="P340" i="5"/>
  <c r="Q340" i="5"/>
  <c r="S340" i="5"/>
  <c r="T340" i="5"/>
  <c r="U340" i="5"/>
  <c r="V340" i="5"/>
  <c r="W340" i="5"/>
  <c r="X340" i="5"/>
  <c r="Y340" i="5"/>
  <c r="Z340" i="5"/>
  <c r="M341" i="5"/>
  <c r="M340" i="5" s="1"/>
  <c r="M335" i="5" s="1"/>
  <c r="R341" i="5"/>
  <c r="R340" i="5" s="1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J347" i="5"/>
  <c r="J344" i="5" s="1"/>
  <c r="J343" i="5" s="1"/>
  <c r="K347" i="5"/>
  <c r="K344" i="5" s="1"/>
  <c r="K343" i="5" s="1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J350" i="5"/>
  <c r="J349" i="5" s="1"/>
  <c r="K350" i="5"/>
  <c r="K349" i="5" s="1"/>
  <c r="L350" i="5"/>
  <c r="L349" i="5" s="1"/>
  <c r="M350" i="5"/>
  <c r="M349" i="5" s="1"/>
  <c r="N350" i="5"/>
  <c r="N349" i="5" s="1"/>
  <c r="O350" i="5"/>
  <c r="O349" i="5" s="1"/>
  <c r="P350" i="5"/>
  <c r="P349" i="5" s="1"/>
  <c r="Q350" i="5"/>
  <c r="Q349" i="5" s="1"/>
  <c r="R350" i="5"/>
  <c r="R349" i="5" s="1"/>
  <c r="S350" i="5"/>
  <c r="S349" i="5" s="1"/>
  <c r="T350" i="5"/>
  <c r="T349" i="5" s="1"/>
  <c r="U350" i="5"/>
  <c r="U349" i="5" s="1"/>
  <c r="V350" i="5"/>
  <c r="V349" i="5" s="1"/>
  <c r="W350" i="5"/>
  <c r="W349" i="5" s="1"/>
  <c r="X350" i="5"/>
  <c r="X349" i="5" s="1"/>
  <c r="Y350" i="5"/>
  <c r="Y349" i="5" s="1"/>
  <c r="Z350" i="5"/>
  <c r="Z349" i="5" s="1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J355" i="5"/>
  <c r="J352" i="5" s="1"/>
  <c r="K355" i="5"/>
  <c r="K352" i="5" s="1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L359" i="5"/>
  <c r="L358" i="5" s="1"/>
  <c r="L357" i="5" s="1"/>
  <c r="M359" i="5"/>
  <c r="M358" i="5" s="1"/>
  <c r="M357" i="5" s="1"/>
  <c r="N359" i="5"/>
  <c r="N358" i="5" s="1"/>
  <c r="N357" i="5" s="1"/>
  <c r="P359" i="5"/>
  <c r="P358" i="5" s="1"/>
  <c r="P357" i="5" s="1"/>
  <c r="Q359" i="5"/>
  <c r="Q358" i="5" s="1"/>
  <c r="Q357" i="5" s="1"/>
  <c r="R359" i="5"/>
  <c r="R358" i="5" s="1"/>
  <c r="R357" i="5" s="1"/>
  <c r="U359" i="5"/>
  <c r="U358" i="5" s="1"/>
  <c r="U357" i="5" s="1"/>
  <c r="V359" i="5"/>
  <c r="V358" i="5" s="1"/>
  <c r="V357" i="5" s="1"/>
  <c r="Y359" i="5"/>
  <c r="Y358" i="5" s="1"/>
  <c r="Y357" i="5" s="1"/>
  <c r="O360" i="5"/>
  <c r="O359" i="5" s="1"/>
  <c r="O358" i="5" s="1"/>
  <c r="O357" i="5" s="1"/>
  <c r="S360" i="5"/>
  <c r="S359" i="5" s="1"/>
  <c r="S358" i="5" s="1"/>
  <c r="S357" i="5" s="1"/>
  <c r="T360" i="5"/>
  <c r="T359" i="5" s="1"/>
  <c r="T358" i="5" s="1"/>
  <c r="T357" i="5" s="1"/>
  <c r="W360" i="5"/>
  <c r="W359" i="5" s="1"/>
  <c r="W358" i="5" s="1"/>
  <c r="W357" i="5" s="1"/>
  <c r="X360" i="5"/>
  <c r="X359" i="5" s="1"/>
  <c r="X358" i="5" s="1"/>
  <c r="X357" i="5" s="1"/>
  <c r="Z360" i="5"/>
  <c r="Z359" i="5" s="1"/>
  <c r="Z358" i="5" s="1"/>
  <c r="Z357" i="5" s="1"/>
  <c r="J367" i="5"/>
  <c r="J366" i="5" s="1"/>
  <c r="J365" i="5" s="1"/>
  <c r="K367" i="5"/>
  <c r="K366" i="5" s="1"/>
  <c r="K365" i="5" s="1"/>
  <c r="L367" i="5"/>
  <c r="L366" i="5" s="1"/>
  <c r="L365" i="5" s="1"/>
  <c r="M367" i="5"/>
  <c r="M366" i="5" s="1"/>
  <c r="M365" i="5" s="1"/>
  <c r="O367" i="5"/>
  <c r="O366" i="5" s="1"/>
  <c r="P367" i="5"/>
  <c r="P366" i="5" s="1"/>
  <c r="R367" i="5"/>
  <c r="R366" i="5" s="1"/>
  <c r="S367" i="5"/>
  <c r="S366" i="5" s="1"/>
  <c r="T367" i="5"/>
  <c r="T366" i="5" s="1"/>
  <c r="U367" i="5"/>
  <c r="U366" i="5" s="1"/>
  <c r="V367" i="5"/>
  <c r="V366" i="5" s="1"/>
  <c r="W367" i="5"/>
  <c r="W366" i="5" s="1"/>
  <c r="X367" i="5"/>
  <c r="X366" i="5" s="1"/>
  <c r="Y367" i="5"/>
  <c r="Y366" i="5" s="1"/>
  <c r="Z367" i="5"/>
  <c r="Z366" i="5" s="1"/>
  <c r="N368" i="5"/>
  <c r="N367" i="5" s="1"/>
  <c r="N366" i="5" s="1"/>
  <c r="Q368" i="5"/>
  <c r="Q367" i="5" s="1"/>
  <c r="Q366" i="5" s="1"/>
  <c r="J370" i="5"/>
  <c r="J369" i="5" s="1"/>
  <c r="K370" i="5"/>
  <c r="K369" i="5" s="1"/>
  <c r="L370" i="5"/>
  <c r="L369" i="5" s="1"/>
  <c r="M370" i="5"/>
  <c r="M369" i="5" s="1"/>
  <c r="N370" i="5"/>
  <c r="N369" i="5" s="1"/>
  <c r="O370" i="5"/>
  <c r="O369" i="5" s="1"/>
  <c r="Q370" i="5"/>
  <c r="Q369" i="5" s="1"/>
  <c r="S370" i="5"/>
  <c r="S369" i="5" s="1"/>
  <c r="T370" i="5"/>
  <c r="T369" i="5" s="1"/>
  <c r="V370" i="5"/>
  <c r="V369" i="5" s="1"/>
  <c r="W370" i="5"/>
  <c r="W369" i="5" s="1"/>
  <c r="X370" i="5"/>
  <c r="X369" i="5" s="1"/>
  <c r="Y370" i="5"/>
  <c r="Y369" i="5" s="1"/>
  <c r="Z370" i="5"/>
  <c r="Z369" i="5" s="1"/>
  <c r="P371" i="5"/>
  <c r="P370" i="5" s="1"/>
  <c r="P369" i="5" s="1"/>
  <c r="R371" i="5"/>
  <c r="R370" i="5" s="1"/>
  <c r="R369" i="5" s="1"/>
  <c r="U371" i="5"/>
  <c r="U370" i="5" s="1"/>
  <c r="U369" i="5" s="1"/>
  <c r="L375" i="5"/>
  <c r="L374" i="5" s="1"/>
  <c r="L373" i="5" s="1"/>
  <c r="M375" i="5"/>
  <c r="M374" i="5" s="1"/>
  <c r="M373" i="5" s="1"/>
  <c r="N375" i="5"/>
  <c r="N374" i="5" s="1"/>
  <c r="N373" i="5" s="1"/>
  <c r="P375" i="5"/>
  <c r="P374" i="5" s="1"/>
  <c r="P373" i="5" s="1"/>
  <c r="Q375" i="5"/>
  <c r="Q374" i="5" s="1"/>
  <c r="Q373" i="5" s="1"/>
  <c r="R375" i="5"/>
  <c r="R374" i="5" s="1"/>
  <c r="R373" i="5" s="1"/>
  <c r="U375" i="5"/>
  <c r="U374" i="5" s="1"/>
  <c r="U373" i="5" s="1"/>
  <c r="V375" i="5"/>
  <c r="V374" i="5" s="1"/>
  <c r="V373" i="5" s="1"/>
  <c r="Y375" i="5"/>
  <c r="Y374" i="5" s="1"/>
  <c r="Y373" i="5" s="1"/>
  <c r="O376" i="5"/>
  <c r="O375" i="5" s="1"/>
  <c r="O374" i="5" s="1"/>
  <c r="O373" i="5" s="1"/>
  <c r="S376" i="5"/>
  <c r="S375" i="5" s="1"/>
  <c r="S374" i="5" s="1"/>
  <c r="S373" i="5" s="1"/>
  <c r="T376" i="5"/>
  <c r="T375" i="5" s="1"/>
  <c r="T374" i="5" s="1"/>
  <c r="T373" i="5" s="1"/>
  <c r="W376" i="5"/>
  <c r="W375" i="5" s="1"/>
  <c r="W374" i="5" s="1"/>
  <c r="W373" i="5" s="1"/>
  <c r="X376" i="5"/>
  <c r="X375" i="5" s="1"/>
  <c r="X374" i="5" s="1"/>
  <c r="X373" i="5" s="1"/>
  <c r="Z376" i="5"/>
  <c r="Z375" i="5" s="1"/>
  <c r="Z374" i="5" s="1"/>
  <c r="Z373" i="5" s="1"/>
  <c r="L380" i="5"/>
  <c r="L379" i="5" s="1"/>
  <c r="L378" i="5" s="1"/>
  <c r="M380" i="5"/>
  <c r="M379" i="5" s="1"/>
  <c r="M378" i="5" s="1"/>
  <c r="N380" i="5"/>
  <c r="N379" i="5" s="1"/>
  <c r="O380" i="5"/>
  <c r="O379" i="5" s="1"/>
  <c r="P380" i="5"/>
  <c r="P379" i="5" s="1"/>
  <c r="Q380" i="5"/>
  <c r="Q379" i="5" s="1"/>
  <c r="R380" i="5"/>
  <c r="R379" i="5" s="1"/>
  <c r="S380" i="5"/>
  <c r="S379" i="5" s="1"/>
  <c r="T380" i="5"/>
  <c r="T379" i="5" s="1"/>
  <c r="U380" i="5"/>
  <c r="U379" i="5" s="1"/>
  <c r="V380" i="5"/>
  <c r="V379" i="5" s="1"/>
  <c r="W380" i="5"/>
  <c r="W379" i="5" s="1"/>
  <c r="X380" i="5"/>
  <c r="X379" i="5" s="1"/>
  <c r="Y380" i="5"/>
  <c r="Y379" i="5" s="1"/>
  <c r="Z380" i="5"/>
  <c r="Z379" i="5" s="1"/>
  <c r="J383" i="5"/>
  <c r="J382" i="5" s="1"/>
  <c r="K383" i="5"/>
  <c r="K382" i="5" s="1"/>
  <c r="L383" i="5"/>
  <c r="L382" i="5" s="1"/>
  <c r="M383" i="5"/>
  <c r="M382" i="5" s="1"/>
  <c r="N383" i="5"/>
  <c r="N382" i="5" s="1"/>
  <c r="O383" i="5"/>
  <c r="O382" i="5" s="1"/>
  <c r="P383" i="5"/>
  <c r="P382" i="5" s="1"/>
  <c r="Q383" i="5"/>
  <c r="Q382" i="5" s="1"/>
  <c r="S383" i="5"/>
  <c r="S382" i="5" s="1"/>
  <c r="T383" i="5"/>
  <c r="T382" i="5" s="1"/>
  <c r="U383" i="5"/>
  <c r="U382" i="5" s="1"/>
  <c r="V383" i="5"/>
  <c r="V382" i="5" s="1"/>
  <c r="W383" i="5"/>
  <c r="W382" i="5" s="1"/>
  <c r="X383" i="5"/>
  <c r="X382" i="5" s="1"/>
  <c r="Y383" i="5"/>
  <c r="Y382" i="5" s="1"/>
  <c r="Z383" i="5"/>
  <c r="Z382" i="5" s="1"/>
  <c r="R384" i="5"/>
  <c r="R383" i="5" s="1"/>
  <c r="R382" i="5" s="1"/>
  <c r="L388" i="5"/>
  <c r="L387" i="5" s="1"/>
  <c r="M388" i="5"/>
  <c r="M387" i="5" s="1"/>
  <c r="N388" i="5"/>
  <c r="N387" i="5" s="1"/>
  <c r="O388" i="5"/>
  <c r="O387" i="5" s="1"/>
  <c r="P388" i="5"/>
  <c r="P387" i="5" s="1"/>
  <c r="Q388" i="5"/>
  <c r="Q387" i="5" s="1"/>
  <c r="R388" i="5"/>
  <c r="R387" i="5" s="1"/>
  <c r="S388" i="5"/>
  <c r="S387" i="5" s="1"/>
  <c r="T388" i="5"/>
  <c r="T387" i="5" s="1"/>
  <c r="U388" i="5"/>
  <c r="U387" i="5" s="1"/>
  <c r="V388" i="5"/>
  <c r="V387" i="5" s="1"/>
  <c r="W388" i="5"/>
  <c r="W387" i="5" s="1"/>
  <c r="X388" i="5"/>
  <c r="X387" i="5" s="1"/>
  <c r="Y388" i="5"/>
  <c r="Y387" i="5" s="1"/>
  <c r="Z388" i="5"/>
  <c r="Z387" i="5" s="1"/>
  <c r="M391" i="5"/>
  <c r="M390" i="5" s="1"/>
  <c r="O391" i="5"/>
  <c r="O390" i="5" s="1"/>
  <c r="P391" i="5"/>
  <c r="P390" i="5" s="1"/>
  <c r="Q391" i="5"/>
  <c r="Q390" i="5" s="1"/>
  <c r="S391" i="5"/>
  <c r="S390" i="5" s="1"/>
  <c r="T391" i="5"/>
  <c r="T390" i="5" s="1"/>
  <c r="U391" i="5"/>
  <c r="U390" i="5" s="1"/>
  <c r="V391" i="5"/>
  <c r="V390" i="5" s="1"/>
  <c r="W391" i="5"/>
  <c r="W390" i="5" s="1"/>
  <c r="X391" i="5"/>
  <c r="X390" i="5" s="1"/>
  <c r="Y391" i="5"/>
  <c r="Y390" i="5" s="1"/>
  <c r="Z391" i="5"/>
  <c r="Z390" i="5" s="1"/>
  <c r="L392" i="5"/>
  <c r="L391" i="5" s="1"/>
  <c r="L390" i="5" s="1"/>
  <c r="N392" i="5"/>
  <c r="N391" i="5" s="1"/>
  <c r="N390" i="5" s="1"/>
  <c r="R392" i="5"/>
  <c r="R391" i="5" s="1"/>
  <c r="R390" i="5" s="1"/>
  <c r="L394" i="5"/>
  <c r="L393" i="5" s="1"/>
  <c r="M394" i="5"/>
  <c r="M393" i="5" s="1"/>
  <c r="N394" i="5"/>
  <c r="N393" i="5" s="1"/>
  <c r="O394" i="5"/>
  <c r="O393" i="5" s="1"/>
  <c r="P394" i="5"/>
  <c r="P393" i="5" s="1"/>
  <c r="Q394" i="5"/>
  <c r="Q393" i="5" s="1"/>
  <c r="R394" i="5"/>
  <c r="R393" i="5" s="1"/>
  <c r="S394" i="5"/>
  <c r="S393" i="5" s="1"/>
  <c r="T394" i="5"/>
  <c r="T393" i="5" s="1"/>
  <c r="U394" i="5"/>
  <c r="U393" i="5" s="1"/>
  <c r="V394" i="5"/>
  <c r="V393" i="5" s="1"/>
  <c r="W394" i="5"/>
  <c r="W393" i="5" s="1"/>
  <c r="X394" i="5"/>
  <c r="X393" i="5" s="1"/>
  <c r="Y394" i="5"/>
  <c r="Y393" i="5" s="1"/>
  <c r="Z394" i="5"/>
  <c r="Z393" i="5" s="1"/>
  <c r="J401" i="5"/>
  <c r="J400" i="5" s="1"/>
  <c r="J399" i="5" s="1"/>
  <c r="K401" i="5"/>
  <c r="K400" i="5" s="1"/>
  <c r="K399" i="5" s="1"/>
  <c r="M401" i="5"/>
  <c r="M400" i="5" s="1"/>
  <c r="M399" i="5" s="1"/>
  <c r="P401" i="5"/>
  <c r="P400" i="5" s="1"/>
  <c r="P399" i="5" s="1"/>
  <c r="Q401" i="5"/>
  <c r="Q400" i="5" s="1"/>
  <c r="Q399" i="5" s="1"/>
  <c r="U401" i="5"/>
  <c r="U400" i="5" s="1"/>
  <c r="U399" i="5" s="1"/>
  <c r="V401" i="5"/>
  <c r="V400" i="5" s="1"/>
  <c r="V399" i="5" s="1"/>
  <c r="Y401" i="5"/>
  <c r="Y400" i="5" s="1"/>
  <c r="Y399" i="5" s="1"/>
  <c r="L402" i="5"/>
  <c r="L401" i="5" s="1"/>
  <c r="L400" i="5" s="1"/>
  <c r="L399" i="5" s="1"/>
  <c r="N402" i="5"/>
  <c r="N401" i="5" s="1"/>
  <c r="N400" i="5" s="1"/>
  <c r="N399" i="5" s="1"/>
  <c r="O402" i="5"/>
  <c r="O401" i="5" s="1"/>
  <c r="O400" i="5" s="1"/>
  <c r="O399" i="5" s="1"/>
  <c r="R402" i="5"/>
  <c r="R401" i="5" s="1"/>
  <c r="R400" i="5" s="1"/>
  <c r="R399" i="5" s="1"/>
  <c r="S402" i="5"/>
  <c r="S401" i="5" s="1"/>
  <c r="S400" i="5" s="1"/>
  <c r="S399" i="5" s="1"/>
  <c r="T402" i="5"/>
  <c r="T401" i="5" s="1"/>
  <c r="T400" i="5" s="1"/>
  <c r="T399" i="5" s="1"/>
  <c r="W402" i="5"/>
  <c r="W401" i="5" s="1"/>
  <c r="W400" i="5" s="1"/>
  <c r="W399" i="5" s="1"/>
  <c r="X402" i="5"/>
  <c r="X401" i="5" s="1"/>
  <c r="X400" i="5" s="1"/>
  <c r="X399" i="5" s="1"/>
  <c r="Z402" i="5"/>
  <c r="Z401" i="5" s="1"/>
  <c r="Z400" i="5" s="1"/>
  <c r="Z399" i="5" s="1"/>
  <c r="J408" i="5"/>
  <c r="J407" i="5" s="1"/>
  <c r="J406" i="5" s="1"/>
  <c r="K408" i="5"/>
  <c r="K407" i="5" s="1"/>
  <c r="K406" i="5" s="1"/>
  <c r="L408" i="5"/>
  <c r="L407" i="5" s="1"/>
  <c r="L406" i="5" s="1"/>
  <c r="M408" i="5"/>
  <c r="M407" i="5" s="1"/>
  <c r="M406" i="5" s="1"/>
  <c r="N408" i="5"/>
  <c r="N407" i="5" s="1"/>
  <c r="N406" i="5" s="1"/>
  <c r="O408" i="5"/>
  <c r="O407" i="5" s="1"/>
  <c r="O406" i="5" s="1"/>
  <c r="P408" i="5"/>
  <c r="P407" i="5" s="1"/>
  <c r="P406" i="5" s="1"/>
  <c r="Q408" i="5"/>
  <c r="Q407" i="5" s="1"/>
  <c r="Q406" i="5" s="1"/>
  <c r="R408" i="5"/>
  <c r="R407" i="5" s="1"/>
  <c r="R406" i="5" s="1"/>
  <c r="S408" i="5"/>
  <c r="S407" i="5" s="1"/>
  <c r="S406" i="5" s="1"/>
  <c r="T408" i="5"/>
  <c r="T407" i="5" s="1"/>
  <c r="T406" i="5" s="1"/>
  <c r="U408" i="5"/>
  <c r="U407" i="5" s="1"/>
  <c r="U406" i="5" s="1"/>
  <c r="V408" i="5"/>
  <c r="V407" i="5" s="1"/>
  <c r="V406" i="5" s="1"/>
  <c r="W408" i="5"/>
  <c r="W407" i="5" s="1"/>
  <c r="W406" i="5" s="1"/>
  <c r="X408" i="5"/>
  <c r="X407" i="5" s="1"/>
  <c r="X406" i="5" s="1"/>
  <c r="Y408" i="5"/>
  <c r="Y407" i="5" s="1"/>
  <c r="Y406" i="5" s="1"/>
  <c r="Z408" i="5"/>
  <c r="Z407" i="5" s="1"/>
  <c r="Z406" i="5" s="1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L420" i="5"/>
  <c r="M420" i="5"/>
  <c r="N420" i="5"/>
  <c r="Q420" i="5"/>
  <c r="R420" i="5"/>
  <c r="J423" i="5"/>
  <c r="J422" i="5" s="1"/>
  <c r="J421" i="5" s="1"/>
  <c r="L423" i="5"/>
  <c r="L422" i="5" s="1"/>
  <c r="L421" i="5" s="1"/>
  <c r="M423" i="5"/>
  <c r="M422" i="5" s="1"/>
  <c r="M421" i="5" s="1"/>
  <c r="N423" i="5"/>
  <c r="N422" i="5" s="1"/>
  <c r="N421" i="5" s="1"/>
  <c r="O423" i="5"/>
  <c r="O422" i="5" s="1"/>
  <c r="O421" i="5" s="1"/>
  <c r="P423" i="5"/>
  <c r="P422" i="5" s="1"/>
  <c r="P421" i="5" s="1"/>
  <c r="Q423" i="5"/>
  <c r="Q422" i="5" s="1"/>
  <c r="Q421" i="5" s="1"/>
  <c r="R423" i="5"/>
  <c r="R422" i="5" s="1"/>
  <c r="R421" i="5" s="1"/>
  <c r="S423" i="5"/>
  <c r="S422" i="5" s="1"/>
  <c r="S421" i="5" s="1"/>
  <c r="T423" i="5"/>
  <c r="T422" i="5" s="1"/>
  <c r="T421" i="5" s="1"/>
  <c r="U423" i="5"/>
  <c r="U422" i="5" s="1"/>
  <c r="U421" i="5" s="1"/>
  <c r="V423" i="5"/>
  <c r="V422" i="5" s="1"/>
  <c r="V421" i="5" s="1"/>
  <c r="W423" i="5"/>
  <c r="W422" i="5" s="1"/>
  <c r="W421" i="5" s="1"/>
  <c r="X423" i="5"/>
  <c r="X422" i="5" s="1"/>
  <c r="X421" i="5" s="1"/>
  <c r="Y423" i="5"/>
  <c r="Y422" i="5" s="1"/>
  <c r="Y421" i="5" s="1"/>
  <c r="Z423" i="5"/>
  <c r="Z422" i="5" s="1"/>
  <c r="Z421" i="5" s="1"/>
  <c r="K424" i="5"/>
  <c r="K423" i="5" s="1"/>
  <c r="K422" i="5" s="1"/>
  <c r="K421" i="5" s="1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J432" i="5"/>
  <c r="K432" i="5"/>
  <c r="O432" i="5"/>
  <c r="O431" i="5" s="1"/>
  <c r="P432" i="5"/>
  <c r="P431" i="5" s="1"/>
  <c r="S432" i="5"/>
  <c r="S431" i="5" s="1"/>
  <c r="T432" i="5"/>
  <c r="U432" i="5"/>
  <c r="V432" i="5"/>
  <c r="V431" i="5" s="1"/>
  <c r="W432" i="5"/>
  <c r="W431" i="5" s="1"/>
  <c r="X432" i="5"/>
  <c r="Y432" i="5"/>
  <c r="Z432" i="5"/>
  <c r="L433" i="5"/>
  <c r="L432" i="5" s="1"/>
  <c r="Q433" i="5"/>
  <c r="Q432" i="5" s="1"/>
  <c r="J434" i="5"/>
  <c r="K434" i="5"/>
  <c r="T434" i="5"/>
  <c r="U434" i="5"/>
  <c r="X434" i="5"/>
  <c r="Y434" i="5"/>
  <c r="Z434" i="5"/>
  <c r="L435" i="5"/>
  <c r="L434" i="5" s="1"/>
  <c r="Q435" i="5"/>
  <c r="Q434" i="5" s="1"/>
  <c r="J439" i="5"/>
  <c r="J438" i="5" s="1"/>
  <c r="K439" i="5"/>
  <c r="K438" i="5" s="1"/>
  <c r="L439" i="5"/>
  <c r="L438" i="5" s="1"/>
  <c r="M439" i="5"/>
  <c r="M438" i="5" s="1"/>
  <c r="O439" i="5"/>
  <c r="O438" i="5" s="1"/>
  <c r="P439" i="5"/>
  <c r="P438" i="5" s="1"/>
  <c r="Q439" i="5"/>
  <c r="Q438" i="5" s="1"/>
  <c r="R439" i="5"/>
  <c r="R438" i="5" s="1"/>
  <c r="T439" i="5"/>
  <c r="T438" i="5" s="1"/>
  <c r="U439" i="5"/>
  <c r="U438" i="5" s="1"/>
  <c r="V439" i="5"/>
  <c r="V438" i="5" s="1"/>
  <c r="W439" i="5"/>
  <c r="W438" i="5" s="1"/>
  <c r="Y439" i="5"/>
  <c r="Y438" i="5" s="1"/>
  <c r="Z439" i="5"/>
  <c r="Z438" i="5" s="1"/>
  <c r="N440" i="5"/>
  <c r="N439" i="5" s="1"/>
  <c r="N438" i="5" s="1"/>
  <c r="S440" i="5"/>
  <c r="S439" i="5" s="1"/>
  <c r="S438" i="5" s="1"/>
  <c r="X440" i="5"/>
  <c r="X439" i="5" s="1"/>
  <c r="X438" i="5" s="1"/>
  <c r="K442" i="5"/>
  <c r="M442" i="5"/>
  <c r="P442" i="5"/>
  <c r="Q442" i="5"/>
  <c r="R442" i="5"/>
  <c r="U442" i="5"/>
  <c r="V442" i="5"/>
  <c r="W442" i="5"/>
  <c r="Y442" i="5"/>
  <c r="J443" i="5"/>
  <c r="J442" i="5" s="1"/>
  <c r="L443" i="5"/>
  <c r="L442" i="5" s="1"/>
  <c r="O443" i="5"/>
  <c r="O442" i="5" s="1"/>
  <c r="T443" i="5"/>
  <c r="T442" i="5" s="1"/>
  <c r="Z443" i="5"/>
  <c r="Z442" i="5" s="1"/>
  <c r="K444" i="5"/>
  <c r="M444" i="5"/>
  <c r="P444" i="5"/>
  <c r="Q444" i="5"/>
  <c r="U444" i="5"/>
  <c r="V444" i="5"/>
  <c r="Y444" i="5"/>
  <c r="Y441" i="5" s="1"/>
  <c r="J445" i="5"/>
  <c r="J444" i="5" s="1"/>
  <c r="L445" i="5"/>
  <c r="L444" i="5" s="1"/>
  <c r="N445" i="5"/>
  <c r="N444" i="5" s="1"/>
  <c r="O445" i="5"/>
  <c r="O444" i="5" s="1"/>
  <c r="R445" i="5"/>
  <c r="R444" i="5" s="1"/>
  <c r="S445" i="5"/>
  <c r="S444" i="5" s="1"/>
  <c r="T445" i="5"/>
  <c r="T444" i="5" s="1"/>
  <c r="W445" i="5"/>
  <c r="W444" i="5" s="1"/>
  <c r="X445" i="5"/>
  <c r="X444" i="5" s="1"/>
  <c r="Z445" i="5"/>
  <c r="Z444" i="5" s="1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J452" i="5"/>
  <c r="K452" i="5"/>
  <c r="M452" i="5"/>
  <c r="P452" i="5"/>
  <c r="Q452" i="5"/>
  <c r="U452" i="5"/>
  <c r="V452" i="5"/>
  <c r="Y452" i="5"/>
  <c r="L453" i="5"/>
  <c r="L452" i="5" s="1"/>
  <c r="N453" i="5"/>
  <c r="N452" i="5" s="1"/>
  <c r="O453" i="5"/>
  <c r="O452" i="5" s="1"/>
  <c r="R453" i="5"/>
  <c r="R452" i="5" s="1"/>
  <c r="S453" i="5"/>
  <c r="S452" i="5" s="1"/>
  <c r="T453" i="5"/>
  <c r="T452" i="5" s="1"/>
  <c r="W453" i="5"/>
  <c r="W452" i="5" s="1"/>
  <c r="X453" i="5"/>
  <c r="X452" i="5" s="1"/>
  <c r="Z453" i="5"/>
  <c r="Z452" i="5" s="1"/>
  <c r="J454" i="5"/>
  <c r="K454" i="5"/>
  <c r="L454" i="5"/>
  <c r="M454" i="5"/>
  <c r="M451" i="5" s="1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K457" i="5"/>
  <c r="M457" i="5"/>
  <c r="P457" i="5"/>
  <c r="Q457" i="5"/>
  <c r="U457" i="5"/>
  <c r="V457" i="5"/>
  <c r="Y457" i="5"/>
  <c r="J458" i="5"/>
  <c r="J457" i="5" s="1"/>
  <c r="L458" i="5"/>
  <c r="L457" i="5" s="1"/>
  <c r="N458" i="5"/>
  <c r="N457" i="5" s="1"/>
  <c r="O458" i="5"/>
  <c r="O457" i="5" s="1"/>
  <c r="R458" i="5"/>
  <c r="R457" i="5" s="1"/>
  <c r="S458" i="5"/>
  <c r="S457" i="5" s="1"/>
  <c r="T458" i="5"/>
  <c r="T457" i="5" s="1"/>
  <c r="W458" i="5"/>
  <c r="W457" i="5" s="1"/>
  <c r="X458" i="5"/>
  <c r="X457" i="5" s="1"/>
  <c r="Z458" i="5"/>
  <c r="Z457" i="5" s="1"/>
  <c r="J459" i="5"/>
  <c r="K459" i="5"/>
  <c r="K456" i="5" s="1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J462" i="5"/>
  <c r="J461" i="5" s="1"/>
  <c r="K462" i="5"/>
  <c r="K461" i="5" s="1"/>
  <c r="M462" i="5"/>
  <c r="P462" i="5"/>
  <c r="Q462" i="5"/>
  <c r="U462" i="5"/>
  <c r="V462" i="5"/>
  <c r="Y462" i="5"/>
  <c r="L463" i="5"/>
  <c r="L462" i="5" s="1"/>
  <c r="N463" i="5"/>
  <c r="N462" i="5" s="1"/>
  <c r="O463" i="5"/>
  <c r="O462" i="5" s="1"/>
  <c r="R463" i="5"/>
  <c r="R462" i="5" s="1"/>
  <c r="S463" i="5"/>
  <c r="S462" i="5" s="1"/>
  <c r="T463" i="5"/>
  <c r="T462" i="5" s="1"/>
  <c r="W463" i="5"/>
  <c r="W462" i="5" s="1"/>
  <c r="X463" i="5"/>
  <c r="X462" i="5" s="1"/>
  <c r="Z463" i="5"/>
  <c r="Z462" i="5" s="1"/>
  <c r="L464" i="5"/>
  <c r="M464" i="5"/>
  <c r="N464" i="5"/>
  <c r="O464" i="5"/>
  <c r="P464" i="5"/>
  <c r="P461" i="5" s="1"/>
  <c r="Q464" i="5"/>
  <c r="R464" i="5"/>
  <c r="S464" i="5"/>
  <c r="T464" i="5"/>
  <c r="U464" i="5"/>
  <c r="V464" i="5"/>
  <c r="W464" i="5"/>
  <c r="X464" i="5"/>
  <c r="Y464" i="5"/>
  <c r="Z464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V472" i="5"/>
  <c r="V471" i="5" s="1"/>
  <c r="J473" i="5"/>
  <c r="J472" i="5" s="1"/>
  <c r="J471" i="5" s="1"/>
  <c r="K473" i="5"/>
  <c r="K472" i="5" s="1"/>
  <c r="K471" i="5" s="1"/>
  <c r="L473" i="5"/>
  <c r="L472" i="5" s="1"/>
  <c r="L471" i="5" s="1"/>
  <c r="M473" i="5"/>
  <c r="M472" i="5" s="1"/>
  <c r="M471" i="5" s="1"/>
  <c r="N473" i="5"/>
  <c r="N472" i="5" s="1"/>
  <c r="N471" i="5" s="1"/>
  <c r="O473" i="5"/>
  <c r="O472" i="5" s="1"/>
  <c r="O471" i="5" s="1"/>
  <c r="P473" i="5"/>
  <c r="P472" i="5" s="1"/>
  <c r="P471" i="5" s="1"/>
  <c r="Q473" i="5"/>
  <c r="Q472" i="5" s="1"/>
  <c r="Q471" i="5" s="1"/>
  <c r="R473" i="5"/>
  <c r="R472" i="5" s="1"/>
  <c r="R471" i="5" s="1"/>
  <c r="S473" i="5"/>
  <c r="S472" i="5" s="1"/>
  <c r="S471" i="5" s="1"/>
  <c r="T473" i="5"/>
  <c r="T472" i="5" s="1"/>
  <c r="T471" i="5" s="1"/>
  <c r="U473" i="5"/>
  <c r="U472" i="5" s="1"/>
  <c r="U471" i="5" s="1"/>
  <c r="W473" i="5"/>
  <c r="W472" i="5" s="1"/>
  <c r="W471" i="5" s="1"/>
  <c r="X473" i="5"/>
  <c r="X472" i="5" s="1"/>
  <c r="X471" i="5" s="1"/>
  <c r="Y473" i="5"/>
  <c r="Y472" i="5" s="1"/>
  <c r="Y471" i="5" s="1"/>
  <c r="Z473" i="5"/>
  <c r="Z472" i="5" s="1"/>
  <c r="Z471" i="5" s="1"/>
  <c r="J478" i="5"/>
  <c r="K478" i="5"/>
  <c r="M478" i="5"/>
  <c r="P478" i="5"/>
  <c r="Q478" i="5"/>
  <c r="U478" i="5"/>
  <c r="V478" i="5"/>
  <c r="Y478" i="5"/>
  <c r="L479" i="5"/>
  <c r="L478" i="5" s="1"/>
  <c r="N479" i="5"/>
  <c r="N478" i="5" s="1"/>
  <c r="O479" i="5"/>
  <c r="O478" i="5" s="1"/>
  <c r="R479" i="5"/>
  <c r="R478" i="5" s="1"/>
  <c r="S479" i="5"/>
  <c r="S478" i="5" s="1"/>
  <c r="T479" i="5"/>
  <c r="T478" i="5" s="1"/>
  <c r="W479" i="5"/>
  <c r="W478" i="5" s="1"/>
  <c r="X479" i="5"/>
  <c r="X478" i="5" s="1"/>
  <c r="Z479" i="5"/>
  <c r="Z478" i="5" s="1"/>
  <c r="J480" i="5"/>
  <c r="K480" i="5"/>
  <c r="M480" i="5"/>
  <c r="P480" i="5"/>
  <c r="Q480" i="5"/>
  <c r="U480" i="5"/>
  <c r="V480" i="5"/>
  <c r="Y480" i="5"/>
  <c r="L481" i="5"/>
  <c r="L480" i="5" s="1"/>
  <c r="N481" i="5"/>
  <c r="N480" i="5" s="1"/>
  <c r="O481" i="5"/>
  <c r="O480" i="5" s="1"/>
  <c r="R481" i="5"/>
  <c r="R480" i="5" s="1"/>
  <c r="S481" i="5"/>
  <c r="S480" i="5" s="1"/>
  <c r="T481" i="5"/>
  <c r="T480" i="5" s="1"/>
  <c r="W481" i="5"/>
  <c r="W480" i="5" s="1"/>
  <c r="X481" i="5"/>
  <c r="X480" i="5" s="1"/>
  <c r="Z481" i="5"/>
  <c r="Z480" i="5" s="1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J487" i="5"/>
  <c r="K487" i="5"/>
  <c r="L487" i="5"/>
  <c r="M487" i="5"/>
  <c r="N487" i="5"/>
  <c r="P487" i="5"/>
  <c r="Q487" i="5"/>
  <c r="R487" i="5"/>
  <c r="U487" i="5"/>
  <c r="V487" i="5"/>
  <c r="Y487" i="5"/>
  <c r="O488" i="5"/>
  <c r="O487" i="5" s="1"/>
  <c r="S488" i="5"/>
  <c r="S487" i="5" s="1"/>
  <c r="T488" i="5"/>
  <c r="T487" i="5" s="1"/>
  <c r="W488" i="5"/>
  <c r="W487" i="5" s="1"/>
  <c r="X488" i="5"/>
  <c r="X487" i="5" s="1"/>
  <c r="Z488" i="5"/>
  <c r="Z487" i="5" s="1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K494" i="5"/>
  <c r="K493" i="5" s="1"/>
  <c r="L494" i="5"/>
  <c r="L493" i="5" s="1"/>
  <c r="M494" i="5"/>
  <c r="M493" i="5" s="1"/>
  <c r="N494" i="5"/>
  <c r="N493" i="5" s="1"/>
  <c r="O494" i="5"/>
  <c r="O493" i="5" s="1"/>
  <c r="P494" i="5"/>
  <c r="P493" i="5" s="1"/>
  <c r="Q494" i="5"/>
  <c r="Q493" i="5" s="1"/>
  <c r="R494" i="5"/>
  <c r="R493" i="5" s="1"/>
  <c r="S494" i="5"/>
  <c r="S493" i="5" s="1"/>
  <c r="T494" i="5"/>
  <c r="T493" i="5" s="1"/>
  <c r="U494" i="5"/>
  <c r="U493" i="5" s="1"/>
  <c r="V494" i="5"/>
  <c r="V493" i="5" s="1"/>
  <c r="W494" i="5"/>
  <c r="W493" i="5" s="1"/>
  <c r="X494" i="5"/>
  <c r="X493" i="5" s="1"/>
  <c r="Y494" i="5"/>
  <c r="Y493" i="5" s="1"/>
  <c r="Z494" i="5"/>
  <c r="Z493" i="5" s="1"/>
  <c r="J495" i="5"/>
  <c r="J494" i="5" s="1"/>
  <c r="J493" i="5" s="1"/>
  <c r="M507" i="5"/>
  <c r="P507" i="5"/>
  <c r="Q507" i="5"/>
  <c r="R507" i="5"/>
  <c r="U507" i="5"/>
  <c r="V507" i="5"/>
  <c r="W507" i="5"/>
  <c r="Y507" i="5"/>
  <c r="L508" i="5"/>
  <c r="L507" i="5" s="1"/>
  <c r="O508" i="5"/>
  <c r="O507" i="5" s="1"/>
  <c r="T508" i="5"/>
  <c r="X508" i="5" s="1"/>
  <c r="X507" i="5" s="1"/>
  <c r="Z508" i="5"/>
  <c r="Z507" i="5" s="1"/>
  <c r="L509" i="5"/>
  <c r="M509" i="5"/>
  <c r="O509" i="5"/>
  <c r="P509" i="5"/>
  <c r="Q509" i="5"/>
  <c r="R509" i="5"/>
  <c r="T509" i="5"/>
  <c r="U509" i="5"/>
  <c r="V509" i="5"/>
  <c r="W509" i="5"/>
  <c r="Y509" i="5"/>
  <c r="Z509" i="5"/>
  <c r="N510" i="5"/>
  <c r="N509" i="5" s="1"/>
  <c r="S510" i="5"/>
  <c r="S509" i="5" s="1"/>
  <c r="X510" i="5"/>
  <c r="X509" i="5" s="1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J517" i="5"/>
  <c r="K517" i="5"/>
  <c r="L517" i="5"/>
  <c r="M517" i="5"/>
  <c r="O517" i="5"/>
  <c r="O514" i="5" s="1"/>
  <c r="O513" i="5" s="1"/>
  <c r="P517" i="5"/>
  <c r="P514" i="5" s="1"/>
  <c r="P513" i="5" s="1"/>
  <c r="Q517" i="5"/>
  <c r="Q514" i="5" s="1"/>
  <c r="Q513" i="5" s="1"/>
  <c r="R517" i="5"/>
  <c r="R514" i="5" s="1"/>
  <c r="R513" i="5" s="1"/>
  <c r="S517" i="5"/>
  <c r="S514" i="5" s="1"/>
  <c r="S513" i="5" s="1"/>
  <c r="T517" i="5"/>
  <c r="T514" i="5" s="1"/>
  <c r="T513" i="5" s="1"/>
  <c r="U517" i="5"/>
  <c r="U514" i="5" s="1"/>
  <c r="U513" i="5" s="1"/>
  <c r="V517" i="5"/>
  <c r="V514" i="5" s="1"/>
  <c r="V513" i="5" s="1"/>
  <c r="W517" i="5"/>
  <c r="W514" i="5" s="1"/>
  <c r="W513" i="5" s="1"/>
  <c r="X517" i="5"/>
  <c r="X514" i="5" s="1"/>
  <c r="X513" i="5" s="1"/>
  <c r="Y517" i="5"/>
  <c r="Y514" i="5" s="1"/>
  <c r="Y513" i="5" s="1"/>
  <c r="Z517" i="5"/>
  <c r="Z514" i="5" s="1"/>
  <c r="Z513" i="5" s="1"/>
  <c r="N518" i="5"/>
  <c r="N517" i="5" s="1"/>
  <c r="J525" i="5"/>
  <c r="J524" i="5" s="1"/>
  <c r="J523" i="5" s="1"/>
  <c r="K525" i="5"/>
  <c r="K524" i="5" s="1"/>
  <c r="K523" i="5" s="1"/>
  <c r="L525" i="5"/>
  <c r="L524" i="5" s="1"/>
  <c r="L523" i="5" s="1"/>
  <c r="M525" i="5"/>
  <c r="M524" i="5" s="1"/>
  <c r="M523" i="5" s="1"/>
  <c r="N525" i="5"/>
  <c r="N524" i="5" s="1"/>
  <c r="N523" i="5" s="1"/>
  <c r="O525" i="5"/>
  <c r="O524" i="5" s="1"/>
  <c r="O523" i="5" s="1"/>
  <c r="P525" i="5"/>
  <c r="P524" i="5" s="1"/>
  <c r="P523" i="5" s="1"/>
  <c r="Q525" i="5"/>
  <c r="Q524" i="5" s="1"/>
  <c r="Q523" i="5" s="1"/>
  <c r="R525" i="5"/>
  <c r="R524" i="5" s="1"/>
  <c r="R523" i="5" s="1"/>
  <c r="S525" i="5"/>
  <c r="S524" i="5" s="1"/>
  <c r="S523" i="5" s="1"/>
  <c r="T525" i="5"/>
  <c r="T524" i="5" s="1"/>
  <c r="T523" i="5" s="1"/>
  <c r="U525" i="5"/>
  <c r="U524" i="5" s="1"/>
  <c r="U523" i="5" s="1"/>
  <c r="V525" i="5"/>
  <c r="V524" i="5" s="1"/>
  <c r="V523" i="5" s="1"/>
  <c r="W525" i="5"/>
  <c r="W524" i="5" s="1"/>
  <c r="W523" i="5" s="1"/>
  <c r="X525" i="5"/>
  <c r="X524" i="5" s="1"/>
  <c r="X523" i="5" s="1"/>
  <c r="Y525" i="5"/>
  <c r="Y524" i="5" s="1"/>
  <c r="Y523" i="5" s="1"/>
  <c r="Z525" i="5"/>
  <c r="Z524" i="5" s="1"/>
  <c r="Z523" i="5" s="1"/>
  <c r="J527" i="5"/>
  <c r="J526" i="5" s="1"/>
  <c r="K527" i="5"/>
  <c r="K526" i="5" s="1"/>
  <c r="L527" i="5"/>
  <c r="L526" i="5" s="1"/>
  <c r="M527" i="5"/>
  <c r="M526" i="5" s="1"/>
  <c r="N527" i="5"/>
  <c r="N526" i="5" s="1"/>
  <c r="O527" i="5"/>
  <c r="O526" i="5" s="1"/>
  <c r="P527" i="5"/>
  <c r="P526" i="5" s="1"/>
  <c r="Q527" i="5"/>
  <c r="Q526" i="5" s="1"/>
  <c r="R527" i="5"/>
  <c r="R526" i="5" s="1"/>
  <c r="S527" i="5"/>
  <c r="S526" i="5" s="1"/>
  <c r="T527" i="5"/>
  <c r="T526" i="5" s="1"/>
  <c r="U527" i="5"/>
  <c r="U526" i="5" s="1"/>
  <c r="V527" i="5"/>
  <c r="V526" i="5" s="1"/>
  <c r="W527" i="5"/>
  <c r="W526" i="5" s="1"/>
  <c r="X527" i="5"/>
  <c r="X526" i="5" s="1"/>
  <c r="Y527" i="5"/>
  <c r="Y526" i="5" s="1"/>
  <c r="Z527" i="5"/>
  <c r="Z526" i="5" s="1"/>
  <c r="J530" i="5"/>
  <c r="J529" i="5" s="1"/>
  <c r="K530" i="5"/>
  <c r="K529" i="5" s="1"/>
  <c r="L530" i="5"/>
  <c r="L529" i="5" s="1"/>
  <c r="M530" i="5"/>
  <c r="M529" i="5" s="1"/>
  <c r="N530" i="5"/>
  <c r="N529" i="5" s="1"/>
  <c r="O530" i="5"/>
  <c r="O529" i="5" s="1"/>
  <c r="P530" i="5"/>
  <c r="P529" i="5" s="1"/>
  <c r="Q530" i="5"/>
  <c r="Q529" i="5" s="1"/>
  <c r="R530" i="5"/>
  <c r="R529" i="5" s="1"/>
  <c r="S530" i="5"/>
  <c r="S529" i="5" s="1"/>
  <c r="T530" i="5"/>
  <c r="T529" i="5" s="1"/>
  <c r="U530" i="5"/>
  <c r="U529" i="5" s="1"/>
  <c r="V530" i="5"/>
  <c r="V529" i="5" s="1"/>
  <c r="W530" i="5"/>
  <c r="W529" i="5" s="1"/>
  <c r="X530" i="5"/>
  <c r="X529" i="5" s="1"/>
  <c r="Y530" i="5"/>
  <c r="Y529" i="5" s="1"/>
  <c r="Z530" i="5"/>
  <c r="Z529" i="5" s="1"/>
  <c r="J533" i="5"/>
  <c r="J532" i="5" s="1"/>
  <c r="K533" i="5"/>
  <c r="K532" i="5" s="1"/>
  <c r="L533" i="5"/>
  <c r="L532" i="5" s="1"/>
  <c r="M533" i="5"/>
  <c r="M532" i="5" s="1"/>
  <c r="N533" i="5"/>
  <c r="N532" i="5" s="1"/>
  <c r="O533" i="5"/>
  <c r="O532" i="5" s="1"/>
  <c r="P533" i="5"/>
  <c r="P532" i="5" s="1"/>
  <c r="Q533" i="5"/>
  <c r="Q532" i="5" s="1"/>
  <c r="R533" i="5"/>
  <c r="R532" i="5" s="1"/>
  <c r="S533" i="5"/>
  <c r="S532" i="5" s="1"/>
  <c r="T533" i="5"/>
  <c r="T532" i="5" s="1"/>
  <c r="U533" i="5"/>
  <c r="U532" i="5" s="1"/>
  <c r="V533" i="5"/>
  <c r="V532" i="5" s="1"/>
  <c r="W533" i="5"/>
  <c r="W532" i="5" s="1"/>
  <c r="X533" i="5"/>
  <c r="X532" i="5" s="1"/>
  <c r="Y533" i="5"/>
  <c r="Y532" i="5" s="1"/>
  <c r="Z533" i="5"/>
  <c r="Z532" i="5" s="1"/>
  <c r="J536" i="5"/>
  <c r="J535" i="5" s="1"/>
  <c r="K536" i="5"/>
  <c r="K535" i="5" s="1"/>
  <c r="L536" i="5"/>
  <c r="L535" i="5" s="1"/>
  <c r="M536" i="5"/>
  <c r="M535" i="5" s="1"/>
  <c r="N536" i="5"/>
  <c r="N535" i="5" s="1"/>
  <c r="O536" i="5"/>
  <c r="O535" i="5" s="1"/>
  <c r="P536" i="5"/>
  <c r="P535" i="5" s="1"/>
  <c r="Q536" i="5"/>
  <c r="Q535" i="5" s="1"/>
  <c r="R536" i="5"/>
  <c r="R535" i="5" s="1"/>
  <c r="S536" i="5"/>
  <c r="S535" i="5" s="1"/>
  <c r="T536" i="5"/>
  <c r="T535" i="5" s="1"/>
  <c r="U536" i="5"/>
  <c r="U535" i="5" s="1"/>
  <c r="V536" i="5"/>
  <c r="V535" i="5" s="1"/>
  <c r="W536" i="5"/>
  <c r="W535" i="5" s="1"/>
  <c r="X536" i="5"/>
  <c r="X535" i="5" s="1"/>
  <c r="Y536" i="5"/>
  <c r="Y535" i="5" s="1"/>
  <c r="Z536" i="5"/>
  <c r="Z535" i="5" s="1"/>
  <c r="K539" i="5"/>
  <c r="M539" i="5"/>
  <c r="P539" i="5"/>
  <c r="Q539" i="5"/>
  <c r="U539" i="5"/>
  <c r="V539" i="5"/>
  <c r="Y539" i="5"/>
  <c r="J540" i="5"/>
  <c r="J539" i="5" s="1"/>
  <c r="L540" i="5"/>
  <c r="L539" i="5" s="1"/>
  <c r="N540" i="5"/>
  <c r="N539" i="5" s="1"/>
  <c r="O540" i="5"/>
  <c r="O539" i="5" s="1"/>
  <c r="R540" i="5"/>
  <c r="R539" i="5" s="1"/>
  <c r="S540" i="5"/>
  <c r="S539" i="5" s="1"/>
  <c r="T540" i="5"/>
  <c r="T539" i="5" s="1"/>
  <c r="W540" i="5"/>
  <c r="W539" i="5" s="1"/>
  <c r="X540" i="5"/>
  <c r="X539" i="5" s="1"/>
  <c r="Z540" i="5"/>
  <c r="Z539" i="5" s="1"/>
  <c r="J541" i="5"/>
  <c r="K541" i="5"/>
  <c r="K538" i="5" s="1"/>
  <c r="L541" i="5"/>
  <c r="M541" i="5"/>
  <c r="N541" i="5"/>
  <c r="O541" i="5"/>
  <c r="P541" i="5"/>
  <c r="Q541" i="5"/>
  <c r="R541" i="5"/>
  <c r="S541" i="5"/>
  <c r="T541" i="5"/>
  <c r="U541" i="5"/>
  <c r="U538" i="5" s="1"/>
  <c r="V541" i="5"/>
  <c r="W541" i="5"/>
  <c r="X541" i="5"/>
  <c r="Y541" i="5"/>
  <c r="Y538" i="5" s="1"/>
  <c r="Z541" i="5"/>
  <c r="J544" i="5"/>
  <c r="J543" i="5" s="1"/>
  <c r="K544" i="5"/>
  <c r="K543" i="5" s="1"/>
  <c r="L544" i="5"/>
  <c r="L543" i="5" s="1"/>
  <c r="M544" i="5"/>
  <c r="M543" i="5" s="1"/>
  <c r="N544" i="5"/>
  <c r="N543" i="5" s="1"/>
  <c r="O544" i="5"/>
  <c r="O543" i="5" s="1"/>
  <c r="P544" i="5"/>
  <c r="P543" i="5" s="1"/>
  <c r="Q544" i="5"/>
  <c r="Q543" i="5" s="1"/>
  <c r="R544" i="5"/>
  <c r="R543" i="5" s="1"/>
  <c r="S544" i="5"/>
  <c r="S543" i="5" s="1"/>
  <c r="T544" i="5"/>
  <c r="T543" i="5" s="1"/>
  <c r="U544" i="5"/>
  <c r="U543" i="5" s="1"/>
  <c r="V544" i="5"/>
  <c r="V543" i="5" s="1"/>
  <c r="W544" i="5"/>
  <c r="W543" i="5" s="1"/>
  <c r="X544" i="5"/>
  <c r="X543" i="5" s="1"/>
  <c r="Y544" i="5"/>
  <c r="Y543" i="5" s="1"/>
  <c r="Z544" i="5"/>
  <c r="Z543" i="5" s="1"/>
  <c r="L547" i="5"/>
  <c r="L546" i="5" s="1"/>
  <c r="M547" i="5"/>
  <c r="M546" i="5" s="1"/>
  <c r="N547" i="5"/>
  <c r="N546" i="5" s="1"/>
  <c r="O547" i="5"/>
  <c r="O546" i="5" s="1"/>
  <c r="P547" i="5"/>
  <c r="P546" i="5" s="1"/>
  <c r="Q547" i="5"/>
  <c r="Q546" i="5" s="1"/>
  <c r="R547" i="5"/>
  <c r="R546" i="5" s="1"/>
  <c r="S547" i="5"/>
  <c r="S546" i="5" s="1"/>
  <c r="T547" i="5"/>
  <c r="T546" i="5" s="1"/>
  <c r="U547" i="5"/>
  <c r="U546" i="5" s="1"/>
  <c r="V547" i="5"/>
  <c r="V546" i="5" s="1"/>
  <c r="W547" i="5"/>
  <c r="W546" i="5" s="1"/>
  <c r="X547" i="5"/>
  <c r="X546" i="5" s="1"/>
  <c r="Y547" i="5"/>
  <c r="Y546" i="5" s="1"/>
  <c r="Z547" i="5"/>
  <c r="Z546" i="5" s="1"/>
  <c r="L552" i="5"/>
  <c r="L551" i="5" s="1"/>
  <c r="L550" i="5" s="1"/>
  <c r="M552" i="5"/>
  <c r="M551" i="5" s="1"/>
  <c r="M550" i="5" s="1"/>
  <c r="N552" i="5"/>
  <c r="N551" i="5" s="1"/>
  <c r="N550" i="5" s="1"/>
  <c r="O552" i="5"/>
  <c r="O551" i="5" s="1"/>
  <c r="O550" i="5" s="1"/>
  <c r="P552" i="5"/>
  <c r="P551" i="5" s="1"/>
  <c r="P550" i="5" s="1"/>
  <c r="Q552" i="5"/>
  <c r="Q551" i="5" s="1"/>
  <c r="Q550" i="5" s="1"/>
  <c r="S552" i="5"/>
  <c r="S551" i="5" s="1"/>
  <c r="S550" i="5" s="1"/>
  <c r="T552" i="5"/>
  <c r="T551" i="5" s="1"/>
  <c r="T550" i="5" s="1"/>
  <c r="U552" i="5"/>
  <c r="U551" i="5" s="1"/>
  <c r="U550" i="5" s="1"/>
  <c r="V552" i="5"/>
  <c r="V551" i="5" s="1"/>
  <c r="V550" i="5" s="1"/>
  <c r="W552" i="5"/>
  <c r="W551" i="5" s="1"/>
  <c r="W550" i="5" s="1"/>
  <c r="X552" i="5"/>
  <c r="X551" i="5" s="1"/>
  <c r="X550" i="5" s="1"/>
  <c r="Y552" i="5"/>
  <c r="Y551" i="5" s="1"/>
  <c r="Y550" i="5" s="1"/>
  <c r="Z552" i="5"/>
  <c r="Z551" i="5" s="1"/>
  <c r="Z550" i="5" s="1"/>
  <c r="R553" i="5"/>
  <c r="R552" i="5" s="1"/>
  <c r="R551" i="5" s="1"/>
  <c r="R550" i="5" s="1"/>
  <c r="U506" i="5" l="1"/>
  <c r="U505" i="5" s="1"/>
  <c r="Z506" i="5"/>
  <c r="Z505" i="5" s="1"/>
  <c r="N212" i="5"/>
  <c r="N211" i="5" s="1"/>
  <c r="Y212" i="5"/>
  <c r="U212" i="5"/>
  <c r="U211" i="5" s="1"/>
  <c r="J477" i="5"/>
  <c r="T477" i="5"/>
  <c r="N477" i="5"/>
  <c r="P477" i="5"/>
  <c r="Z446" i="5"/>
  <c r="V446" i="5"/>
  <c r="R446" i="5"/>
  <c r="N446" i="5"/>
  <c r="J446" i="5"/>
  <c r="Y446" i="5"/>
  <c r="W446" i="5"/>
  <c r="U446" i="5"/>
  <c r="W441" i="5"/>
  <c r="R435" i="5"/>
  <c r="R434" i="5" s="1"/>
  <c r="Y431" i="5"/>
  <c r="Y420" i="5" s="1"/>
  <c r="U431" i="5"/>
  <c r="U420" i="5" s="1"/>
  <c r="Z431" i="5"/>
  <c r="Z420" i="5" s="1"/>
  <c r="W426" i="5"/>
  <c r="W425" i="5" s="1"/>
  <c r="W420" i="5" s="1"/>
  <c r="S426" i="5"/>
  <c r="S425" i="5" s="1"/>
  <c r="O426" i="5"/>
  <c r="O425" i="5" s="1"/>
  <c r="O420" i="5" s="1"/>
  <c r="K426" i="5"/>
  <c r="K425" i="5" s="1"/>
  <c r="X426" i="5"/>
  <c r="X425" i="5" s="1"/>
  <c r="T426" i="5"/>
  <c r="T425" i="5" s="1"/>
  <c r="N334" i="5"/>
  <c r="N333" i="5" s="1"/>
  <c r="N332" i="5" s="1"/>
  <c r="N242" i="5"/>
  <c r="N241" i="5" s="1"/>
  <c r="N240" i="5" s="1"/>
  <c r="Z212" i="5"/>
  <c r="Z211" i="5" s="1"/>
  <c r="W212" i="5"/>
  <c r="S212" i="5"/>
  <c r="S211" i="5" s="1"/>
  <c r="O212" i="5"/>
  <c r="V212" i="5"/>
  <c r="V211" i="5" s="1"/>
  <c r="Q212" i="5"/>
  <c r="Y182" i="5"/>
  <c r="Y181" i="5" s="1"/>
  <c r="W182" i="5"/>
  <c r="W181" i="5" s="1"/>
  <c r="U182" i="5"/>
  <c r="U181" i="5" s="1"/>
  <c r="S182" i="5"/>
  <c r="S181" i="5" s="1"/>
  <c r="Q182" i="5"/>
  <c r="Q181" i="5" s="1"/>
  <c r="O182" i="5"/>
  <c r="O181" i="5" s="1"/>
  <c r="M182" i="5"/>
  <c r="M181" i="5" s="1"/>
  <c r="K182" i="5"/>
  <c r="K181" i="5" s="1"/>
  <c r="Y158" i="5"/>
  <c r="Y157" i="5" s="1"/>
  <c r="Y156" i="5" s="1"/>
  <c r="U158" i="5"/>
  <c r="U157" i="5" s="1"/>
  <c r="Q158" i="5"/>
  <c r="Q157" i="5" s="1"/>
  <c r="Q156" i="5" s="1"/>
  <c r="M158" i="5"/>
  <c r="M157" i="5" s="1"/>
  <c r="Z145" i="5"/>
  <c r="X145" i="5"/>
  <c r="V145" i="5"/>
  <c r="T145" i="5"/>
  <c r="R145" i="5"/>
  <c r="P145" i="5"/>
  <c r="N145" i="5"/>
  <c r="L145" i="5"/>
  <c r="L144" i="5" s="1"/>
  <c r="J145" i="5"/>
  <c r="J144" i="5" s="1"/>
  <c r="W107" i="5"/>
  <c r="S107" i="5"/>
  <c r="O107" i="5"/>
  <c r="K107" i="5"/>
  <c r="K106" i="5" s="1"/>
  <c r="O24" i="5"/>
  <c r="Q24" i="5"/>
  <c r="S251" i="5"/>
  <c r="W252" i="5"/>
  <c r="W251" i="5" s="1"/>
  <c r="T538" i="5"/>
  <c r="T522" i="5" s="1"/>
  <c r="N538" i="5"/>
  <c r="T484" i="5"/>
  <c r="K477" i="5"/>
  <c r="N461" i="5"/>
  <c r="X456" i="5"/>
  <c r="J456" i="5"/>
  <c r="U241" i="5"/>
  <c r="U240" i="5" s="1"/>
  <c r="X242" i="5"/>
  <c r="X241" i="5" s="1"/>
  <c r="X240" i="5" s="1"/>
  <c r="Q538" i="5"/>
  <c r="M538" i="5"/>
  <c r="S538" i="5"/>
  <c r="L538" i="5"/>
  <c r="W506" i="5"/>
  <c r="W505" i="5" s="1"/>
  <c r="Q506" i="5"/>
  <c r="Q505" i="5" s="1"/>
  <c r="V461" i="5"/>
  <c r="Q456" i="5"/>
  <c r="Z451" i="5"/>
  <c r="S451" i="5"/>
  <c r="W344" i="5"/>
  <c r="S344" i="5"/>
  <c r="O344" i="5"/>
  <c r="P327" i="5"/>
  <c r="Y327" i="5"/>
  <c r="Q327" i="5"/>
  <c r="M307" i="5"/>
  <c r="N275" i="5"/>
  <c r="M246" i="5"/>
  <c r="K230" i="5"/>
  <c r="Y225" i="5"/>
  <c r="W225" i="5"/>
  <c r="U225" i="5"/>
  <c r="S225" i="5"/>
  <c r="P211" i="5"/>
  <c r="N75" i="5"/>
  <c r="N74" i="5" s="1"/>
  <c r="N73" i="5" s="1"/>
  <c r="X538" i="5"/>
  <c r="X522" i="5" s="1"/>
  <c r="R538" i="5"/>
  <c r="J538" i="5"/>
  <c r="M514" i="5"/>
  <c r="M513" i="5" s="1"/>
  <c r="L506" i="5"/>
  <c r="L505" i="5" s="1"/>
  <c r="U484" i="5"/>
  <c r="Z461" i="5"/>
  <c r="L461" i="5"/>
  <c r="Q461" i="5"/>
  <c r="K451" i="5"/>
  <c r="M441" i="5"/>
  <c r="P386" i="5"/>
  <c r="V378" i="5"/>
  <c r="N378" i="5"/>
  <c r="X335" i="5"/>
  <c r="T335" i="5"/>
  <c r="R327" i="5"/>
  <c r="X307" i="5"/>
  <c r="O307" i="5"/>
  <c r="O306" i="5" s="1"/>
  <c r="M212" i="5"/>
  <c r="M211" i="5" s="1"/>
  <c r="W158" i="5"/>
  <c r="W157" i="5" s="1"/>
  <c r="W156" i="5" s="1"/>
  <c r="S158" i="5"/>
  <c r="S157" i="5" s="1"/>
  <c r="O158" i="5"/>
  <c r="O157" i="5" s="1"/>
  <c r="O156" i="5" s="1"/>
  <c r="K158" i="5"/>
  <c r="K157" i="5" s="1"/>
  <c r="Y107" i="5"/>
  <c r="Y106" i="5" s="1"/>
  <c r="U107" i="5"/>
  <c r="Q107" i="5"/>
  <c r="Q106" i="5" s="1"/>
  <c r="M107" i="5"/>
  <c r="U24" i="5"/>
  <c r="Y506" i="5"/>
  <c r="Y505" i="5" s="1"/>
  <c r="T507" i="5"/>
  <c r="M506" i="5"/>
  <c r="M505" i="5" s="1"/>
  <c r="X484" i="5"/>
  <c r="X477" i="5"/>
  <c r="T456" i="5"/>
  <c r="N456" i="5"/>
  <c r="T451" i="5"/>
  <c r="X446" i="5"/>
  <c r="T446" i="5"/>
  <c r="P446" i="5"/>
  <c r="L446" i="5"/>
  <c r="Q446" i="5"/>
  <c r="M446" i="5"/>
  <c r="Y426" i="5"/>
  <c r="Y425" i="5" s="1"/>
  <c r="U426" i="5"/>
  <c r="U425" i="5" s="1"/>
  <c r="Q426" i="5"/>
  <c r="Q425" i="5" s="1"/>
  <c r="M426" i="5"/>
  <c r="M425" i="5" s="1"/>
  <c r="Y344" i="5"/>
  <c r="U344" i="5"/>
  <c r="Q344" i="5"/>
  <c r="M344" i="5"/>
  <c r="M343" i="5" s="1"/>
  <c r="W335" i="5"/>
  <c r="S335" i="5"/>
  <c r="N335" i="5"/>
  <c r="P335" i="5"/>
  <c r="P323" i="5" s="1"/>
  <c r="Z335" i="5"/>
  <c r="V335" i="5"/>
  <c r="K307" i="5"/>
  <c r="S242" i="5"/>
  <c r="S241" i="5" s="1"/>
  <c r="S240" i="5" s="1"/>
  <c r="S239" i="5"/>
  <c r="S238" i="5" s="1"/>
  <c r="S237" i="5" s="1"/>
  <c r="Y230" i="5"/>
  <c r="O225" i="5"/>
  <c r="K225" i="5"/>
  <c r="K212" i="5"/>
  <c r="R49" i="5"/>
  <c r="R48" i="5" s="1"/>
  <c r="R47" i="5" s="1"/>
  <c r="V24" i="5"/>
  <c r="V538" i="5"/>
  <c r="K514" i="5"/>
  <c r="K513" i="5" s="1"/>
  <c r="X506" i="5"/>
  <c r="X505" i="5" s="1"/>
  <c r="V477" i="5"/>
  <c r="L451" i="5"/>
  <c r="P378" i="5"/>
  <c r="S365" i="5"/>
  <c r="V250" i="5"/>
  <c r="Y250" i="5" s="1"/>
  <c r="V249" i="5"/>
  <c r="Y249" i="5" s="1"/>
  <c r="Y24" i="5"/>
  <c r="Z538" i="5"/>
  <c r="P451" i="5"/>
  <c r="P426" i="5"/>
  <c r="P425" i="5" s="1"/>
  <c r="P420" i="5" s="1"/>
  <c r="L426" i="5"/>
  <c r="L425" i="5" s="1"/>
  <c r="Z249" i="5"/>
  <c r="Q225" i="5"/>
  <c r="M225" i="5"/>
  <c r="R211" i="5"/>
  <c r="Y522" i="5"/>
  <c r="U522" i="5"/>
  <c r="Q522" i="5"/>
  <c r="M522" i="5"/>
  <c r="Z522" i="5"/>
  <c r="R522" i="5"/>
  <c r="J522" i="5"/>
  <c r="W538" i="5"/>
  <c r="O538" i="5"/>
  <c r="O522" i="5" s="1"/>
  <c r="O506" i="5"/>
  <c r="O505" i="5" s="1"/>
  <c r="T506" i="5"/>
  <c r="T505" i="5" s="1"/>
  <c r="O484" i="5"/>
  <c r="P484" i="5"/>
  <c r="K484" i="5"/>
  <c r="K476" i="5" s="1"/>
  <c r="U477" i="5"/>
  <c r="S461" i="5"/>
  <c r="R456" i="5"/>
  <c r="Q451" i="5"/>
  <c r="Q437" i="5" s="1"/>
  <c r="Z378" i="5"/>
  <c r="N514" i="5"/>
  <c r="N513" i="5" s="1"/>
  <c r="J514" i="5"/>
  <c r="J513" i="5" s="1"/>
  <c r="N508" i="5"/>
  <c r="N507" i="5" s="1"/>
  <c r="N506" i="5" s="1"/>
  <c r="N505" i="5" s="1"/>
  <c r="R506" i="5"/>
  <c r="R505" i="5" s="1"/>
  <c r="W484" i="5"/>
  <c r="Y484" i="5"/>
  <c r="N484" i="5"/>
  <c r="J484" i="5"/>
  <c r="Q477" i="5"/>
  <c r="X461" i="5"/>
  <c r="R461" i="5"/>
  <c r="Y461" i="5"/>
  <c r="Y437" i="5" s="1"/>
  <c r="Y456" i="5"/>
  <c r="Y451" i="5"/>
  <c r="J451" i="5"/>
  <c r="J437" i="5" s="1"/>
  <c r="W522" i="5"/>
  <c r="S522" i="5"/>
  <c r="K522" i="5"/>
  <c r="V522" i="5"/>
  <c r="N522" i="5"/>
  <c r="V506" i="5"/>
  <c r="V505" i="5" s="1"/>
  <c r="R484" i="5"/>
  <c r="M484" i="5"/>
  <c r="R477" i="5"/>
  <c r="Y477" i="5"/>
  <c r="W461" i="5"/>
  <c r="W437" i="5" s="1"/>
  <c r="O461" i="5"/>
  <c r="M461" i="5"/>
  <c r="P456" i="5"/>
  <c r="P437" i="5" s="1"/>
  <c r="W451" i="5"/>
  <c r="O451" i="5"/>
  <c r="X378" i="5"/>
  <c r="T378" i="5"/>
  <c r="P538" i="5"/>
  <c r="L514" i="5"/>
  <c r="L513" i="5" s="1"/>
  <c r="S508" i="5"/>
  <c r="S507" i="5" s="1"/>
  <c r="P506" i="5"/>
  <c r="P505" i="5" s="1"/>
  <c r="Z484" i="5"/>
  <c r="S484" i="5"/>
  <c r="V484" i="5"/>
  <c r="Q484" i="5"/>
  <c r="L484" i="5"/>
  <c r="M477" i="5"/>
  <c r="T461" i="5"/>
  <c r="U461" i="5"/>
  <c r="W456" i="5"/>
  <c r="O456" i="5"/>
  <c r="U451" i="5"/>
  <c r="Z386" i="5"/>
  <c r="V386" i="5"/>
  <c r="W319" i="5"/>
  <c r="W318" i="5" s="1"/>
  <c r="W306" i="5" s="1"/>
  <c r="Z320" i="5"/>
  <c r="Z319" i="5" s="1"/>
  <c r="Z318" i="5" s="1"/>
  <c r="S446" i="5"/>
  <c r="O446" i="5"/>
  <c r="K446" i="5"/>
  <c r="K437" i="5" s="1"/>
  <c r="O441" i="5"/>
  <c r="Z426" i="5"/>
  <c r="Z425" i="5" s="1"/>
  <c r="V426" i="5"/>
  <c r="V425" i="5" s="1"/>
  <c r="R426" i="5"/>
  <c r="R425" i="5" s="1"/>
  <c r="N426" i="5"/>
  <c r="N425" i="5" s="1"/>
  <c r="J426" i="5"/>
  <c r="J425" i="5" s="1"/>
  <c r="Y412" i="5"/>
  <c r="Y411" i="5" s="1"/>
  <c r="U412" i="5"/>
  <c r="U411" i="5" s="1"/>
  <c r="U405" i="5" s="1"/>
  <c r="Q412" i="5"/>
  <c r="Q411" i="5" s="1"/>
  <c r="M412" i="5"/>
  <c r="M411" i="5" s="1"/>
  <c r="M405" i="5" s="1"/>
  <c r="Z412" i="5"/>
  <c r="Z411" i="5" s="1"/>
  <c r="V412" i="5"/>
  <c r="V411" i="5" s="1"/>
  <c r="R412" i="5"/>
  <c r="R411" i="5" s="1"/>
  <c r="N412" i="5"/>
  <c r="N411" i="5" s="1"/>
  <c r="J412" i="5"/>
  <c r="J411" i="5" s="1"/>
  <c r="Q386" i="5"/>
  <c r="O378" i="5"/>
  <c r="Z352" i="5"/>
  <c r="Z343" i="5" s="1"/>
  <c r="V352" i="5"/>
  <c r="R352" i="5"/>
  <c r="N352" i="5"/>
  <c r="W352" i="5"/>
  <c r="S352" i="5"/>
  <c r="O352" i="5"/>
  <c r="X344" i="5"/>
  <c r="T344" i="5"/>
  <c r="P344" i="5"/>
  <c r="L344" i="5"/>
  <c r="Q335" i="5"/>
  <c r="Q323" i="5" s="1"/>
  <c r="N327" i="5"/>
  <c r="J327" i="5"/>
  <c r="J323" i="5" s="1"/>
  <c r="T327" i="5"/>
  <c r="M327" i="5"/>
  <c r="K306" i="5"/>
  <c r="W307" i="5"/>
  <c r="R307" i="5"/>
  <c r="R306" i="5" s="1"/>
  <c r="U456" i="5"/>
  <c r="M456" i="5"/>
  <c r="Z456" i="5"/>
  <c r="S456" i="5"/>
  <c r="L456" i="5"/>
  <c r="V456" i="5"/>
  <c r="X451" i="5"/>
  <c r="R451" i="5"/>
  <c r="Q441" i="5"/>
  <c r="V441" i="5"/>
  <c r="P441" i="5"/>
  <c r="M433" i="5"/>
  <c r="M432" i="5" s="1"/>
  <c r="X431" i="5"/>
  <c r="X420" i="5" s="1"/>
  <c r="T431" i="5"/>
  <c r="T420" i="5" s="1"/>
  <c r="Y335" i="5"/>
  <c r="U335" i="5"/>
  <c r="T307" i="5"/>
  <c r="T306" i="5" s="1"/>
  <c r="K431" i="5"/>
  <c r="K420" i="5" s="1"/>
  <c r="W412" i="5"/>
  <c r="W411" i="5" s="1"/>
  <c r="W405" i="5" s="1"/>
  <c r="S412" i="5"/>
  <c r="S411" i="5" s="1"/>
  <c r="O412" i="5"/>
  <c r="O411" i="5" s="1"/>
  <c r="O405" i="5" s="1"/>
  <c r="K412" i="5"/>
  <c r="K411" i="5" s="1"/>
  <c r="X412" i="5"/>
  <c r="X411" i="5" s="1"/>
  <c r="X405" i="5" s="1"/>
  <c r="T412" i="5"/>
  <c r="T411" i="5" s="1"/>
  <c r="P412" i="5"/>
  <c r="P411" i="5" s="1"/>
  <c r="P405" i="5" s="1"/>
  <c r="L412" i="5"/>
  <c r="L411" i="5" s="1"/>
  <c r="N386" i="5"/>
  <c r="O386" i="5"/>
  <c r="Q378" i="5"/>
  <c r="Q365" i="5"/>
  <c r="T365" i="5"/>
  <c r="X352" i="5"/>
  <c r="T352" i="5"/>
  <c r="P352" i="5"/>
  <c r="L352" i="5"/>
  <c r="Y352" i="5"/>
  <c r="U352" i="5"/>
  <c r="Q352" i="5"/>
  <c r="M352" i="5"/>
  <c r="Z344" i="5"/>
  <c r="V344" i="5"/>
  <c r="V343" i="5" s="1"/>
  <c r="R344" i="5"/>
  <c r="N344" i="5"/>
  <c r="R335" i="5"/>
  <c r="O335" i="5"/>
  <c r="V327" i="5"/>
  <c r="L327" i="5"/>
  <c r="L323" i="5" s="1"/>
  <c r="X327" i="5"/>
  <c r="O327" i="5"/>
  <c r="O323" i="5" s="1"/>
  <c r="U327" i="5"/>
  <c r="K327" i="5"/>
  <c r="K323" i="5" s="1"/>
  <c r="U307" i="5"/>
  <c r="U306" i="5" s="1"/>
  <c r="M306" i="5"/>
  <c r="Z307" i="5"/>
  <c r="S307" i="5"/>
  <c r="S306" i="5" s="1"/>
  <c r="P307" i="5"/>
  <c r="P306" i="5" s="1"/>
  <c r="N451" i="5"/>
  <c r="V451" i="5"/>
  <c r="U441" i="5"/>
  <c r="U437" i="5" s="1"/>
  <c r="J431" i="5"/>
  <c r="J420" i="5" s="1"/>
  <c r="W365" i="5"/>
  <c r="V307" i="5"/>
  <c r="L307" i="5"/>
  <c r="L306" i="5" s="1"/>
  <c r="Q275" i="5"/>
  <c r="W250" i="5"/>
  <c r="Z250" i="5" s="1"/>
  <c r="U246" i="5"/>
  <c r="O246" i="5"/>
  <c r="Z230" i="5"/>
  <c r="V230" i="5"/>
  <c r="R230" i="5"/>
  <c r="X225" i="5"/>
  <c r="T225" i="5"/>
  <c r="P225" i="5"/>
  <c r="L225" i="5"/>
  <c r="W211" i="5"/>
  <c r="Z182" i="5"/>
  <c r="Z181" i="5" s="1"/>
  <c r="V182" i="5"/>
  <c r="V181" i="5" s="1"/>
  <c r="R182" i="5"/>
  <c r="R181" i="5" s="1"/>
  <c r="N182" i="5"/>
  <c r="N181" i="5" s="1"/>
  <c r="J182" i="5"/>
  <c r="J181" i="5" s="1"/>
  <c r="S156" i="5"/>
  <c r="K156" i="5"/>
  <c r="X158" i="5"/>
  <c r="X157" i="5" s="1"/>
  <c r="X156" i="5" s="1"/>
  <c r="T158" i="5"/>
  <c r="T157" i="5" s="1"/>
  <c r="T156" i="5" s="1"/>
  <c r="P158" i="5"/>
  <c r="P157" i="5" s="1"/>
  <c r="P156" i="5" s="1"/>
  <c r="L158" i="5"/>
  <c r="L157" i="5" s="1"/>
  <c r="L156" i="5" s="1"/>
  <c r="R150" i="5"/>
  <c r="W150" i="5"/>
  <c r="S150" i="5"/>
  <c r="S144" i="5" s="1"/>
  <c r="W145" i="5"/>
  <c r="W144" i="5" s="1"/>
  <c r="S145" i="5"/>
  <c r="O145" i="5"/>
  <c r="K145" i="5"/>
  <c r="K144" i="5" s="1"/>
  <c r="Z107" i="5"/>
  <c r="Z106" i="5" s="1"/>
  <c r="V107" i="5"/>
  <c r="V106" i="5" s="1"/>
  <c r="R107" i="5"/>
  <c r="N107" i="5"/>
  <c r="N106" i="5" s="1"/>
  <c r="J107" i="5"/>
  <c r="R55" i="5"/>
  <c r="R54" i="5" s="1"/>
  <c r="R53" i="5" s="1"/>
  <c r="R52" i="5"/>
  <c r="R51" i="5" s="1"/>
  <c r="R50" i="5" s="1"/>
  <c r="X19" i="5"/>
  <c r="T19" i="5"/>
  <c r="P19" i="5"/>
  <c r="L19" i="5"/>
  <c r="Y19" i="5"/>
  <c r="U19" i="5"/>
  <c r="Q19" i="5"/>
  <c r="M19" i="5"/>
  <c r="U230" i="5"/>
  <c r="Q230" i="5"/>
  <c r="M230" i="5"/>
  <c r="M221" i="5" s="1"/>
  <c r="S72" i="5"/>
  <c r="S71" i="5" s="1"/>
  <c r="S70" i="5" s="1"/>
  <c r="R46" i="5"/>
  <c r="R45" i="5" s="1"/>
  <c r="R44" i="5" s="1"/>
  <c r="P24" i="5"/>
  <c r="L24" i="5"/>
  <c r="L18" i="5" s="1"/>
  <c r="N307" i="5"/>
  <c r="J307" i="5"/>
  <c r="J306" i="5" s="1"/>
  <c r="S248" i="5"/>
  <c r="S247" i="5" s="1"/>
  <c r="S246" i="5" s="1"/>
  <c r="N236" i="5"/>
  <c r="N235" i="5" s="1"/>
  <c r="P230" i="5"/>
  <c r="Z225" i="5"/>
  <c r="V225" i="5"/>
  <c r="R225" i="5"/>
  <c r="N225" i="5"/>
  <c r="J225" i="5"/>
  <c r="L212" i="5"/>
  <c r="L211" i="5" s="1"/>
  <c r="Q211" i="5"/>
  <c r="J212" i="5"/>
  <c r="R204" i="5"/>
  <c r="R203" i="5" s="1"/>
  <c r="R202" i="5" s="1"/>
  <c r="R189" i="5" s="1"/>
  <c r="X182" i="5"/>
  <c r="X181" i="5" s="1"/>
  <c r="T182" i="5"/>
  <c r="T181" i="5" s="1"/>
  <c r="P182" i="5"/>
  <c r="P181" i="5" s="1"/>
  <c r="L182" i="5"/>
  <c r="L181" i="5" s="1"/>
  <c r="U156" i="5"/>
  <c r="M156" i="5"/>
  <c r="Z158" i="5"/>
  <c r="Z157" i="5" s="1"/>
  <c r="V158" i="5"/>
  <c r="V157" i="5" s="1"/>
  <c r="V156" i="5" s="1"/>
  <c r="R158" i="5"/>
  <c r="R157" i="5" s="1"/>
  <c r="N158" i="5"/>
  <c r="N157" i="5" s="1"/>
  <c r="J158" i="5"/>
  <c r="J157" i="5" s="1"/>
  <c r="J156" i="5" s="1"/>
  <c r="Y150" i="5"/>
  <c r="U150" i="5"/>
  <c r="P150" i="5"/>
  <c r="P144" i="5" s="1"/>
  <c r="Y145" i="5"/>
  <c r="U145" i="5"/>
  <c r="Q145" i="5"/>
  <c r="M145" i="5"/>
  <c r="M144" i="5" s="1"/>
  <c r="X107" i="5"/>
  <c r="T107" i="5"/>
  <c r="P107" i="5"/>
  <c r="P106" i="5" s="1"/>
  <c r="L107" i="5"/>
  <c r="R81" i="5"/>
  <c r="R80" i="5" s="1"/>
  <c r="R79" i="5" s="1"/>
  <c r="R78" i="5"/>
  <c r="R77" i="5" s="1"/>
  <c r="R76" i="5" s="1"/>
  <c r="X75" i="5"/>
  <c r="X74" i="5" s="1"/>
  <c r="X73" i="5" s="1"/>
  <c r="Z60" i="5"/>
  <c r="N62" i="5"/>
  <c r="N61" i="5" s="1"/>
  <c r="R63" i="5"/>
  <c r="R62" i="5" s="1"/>
  <c r="R61" i="5" s="1"/>
  <c r="Z19" i="5"/>
  <c r="V19" i="5"/>
  <c r="R19" i="5"/>
  <c r="N19" i="5"/>
  <c r="J19" i="5"/>
  <c r="W19" i="5"/>
  <c r="S19" i="5"/>
  <c r="O19" i="5"/>
  <c r="O18" i="5" s="1"/>
  <c r="K19" i="5"/>
  <c r="K18" i="5" s="1"/>
  <c r="W230" i="5"/>
  <c r="Y211" i="5"/>
  <c r="R24" i="5"/>
  <c r="N24" i="5"/>
  <c r="N150" i="5"/>
  <c r="U189" i="5"/>
  <c r="V60" i="5"/>
  <c r="T60" i="5"/>
  <c r="K60" i="5"/>
  <c r="Z150" i="5"/>
  <c r="X150" i="5"/>
  <c r="X144" i="5" s="1"/>
  <c r="V150" i="5"/>
  <c r="T150" i="5"/>
  <c r="T144" i="5" s="1"/>
  <c r="Q150" i="5"/>
  <c r="O150" i="5"/>
  <c r="O144" i="5" s="1"/>
  <c r="M83" i="5"/>
  <c r="Y60" i="5"/>
  <c r="W60" i="5"/>
  <c r="Q60" i="5"/>
  <c r="O60" i="5"/>
  <c r="M18" i="5"/>
  <c r="P522" i="5"/>
  <c r="L522" i="5"/>
  <c r="S506" i="5"/>
  <c r="S505" i="5" s="1"/>
  <c r="J476" i="5"/>
  <c r="Z477" i="5"/>
  <c r="W477" i="5"/>
  <c r="S477" i="5"/>
  <c r="O477" i="5"/>
  <c r="L477" i="5"/>
  <c r="L476" i="5" s="1"/>
  <c r="T441" i="5"/>
  <c r="L441" i="5"/>
  <c r="R441" i="5"/>
  <c r="S420" i="5"/>
  <c r="T405" i="5"/>
  <c r="L405" i="5"/>
  <c r="R386" i="5"/>
  <c r="L386" i="5"/>
  <c r="Y386" i="5"/>
  <c r="W386" i="5"/>
  <c r="U386" i="5"/>
  <c r="S386" i="5"/>
  <c r="M386" i="5"/>
  <c r="X386" i="5"/>
  <c r="T386" i="5"/>
  <c r="N365" i="5"/>
  <c r="P365" i="5"/>
  <c r="Z441" i="5"/>
  <c r="J441" i="5"/>
  <c r="V420" i="5"/>
  <c r="Y405" i="5"/>
  <c r="S405" i="5"/>
  <c r="Q405" i="5"/>
  <c r="K405" i="5"/>
  <c r="K398" i="5" s="1"/>
  <c r="Z405" i="5"/>
  <c r="V405" i="5"/>
  <c r="R405" i="5"/>
  <c r="N405" i="5"/>
  <c r="J405" i="5"/>
  <c r="Y378" i="5"/>
  <c r="W378" i="5"/>
  <c r="U378" i="5"/>
  <c r="S378" i="5"/>
  <c r="R378" i="5"/>
  <c r="Z365" i="5"/>
  <c r="X365" i="5"/>
  <c r="V365" i="5"/>
  <c r="R365" i="5"/>
  <c r="X443" i="5"/>
  <c r="X442" i="5" s="1"/>
  <c r="X441" i="5" s="1"/>
  <c r="S443" i="5"/>
  <c r="S442" i="5" s="1"/>
  <c r="S441" i="5" s="1"/>
  <c r="S437" i="5" s="1"/>
  <c r="N443" i="5"/>
  <c r="N442" i="5" s="1"/>
  <c r="N441" i="5" s="1"/>
  <c r="M435" i="5"/>
  <c r="R433" i="5"/>
  <c r="R432" i="5" s="1"/>
  <c r="N433" i="5"/>
  <c r="N432" i="5" s="1"/>
  <c r="O365" i="5"/>
  <c r="Y343" i="5"/>
  <c r="S343" i="5"/>
  <c r="Q343" i="5"/>
  <c r="Z327" i="5"/>
  <c r="S327" i="5"/>
  <c r="X306" i="5"/>
  <c r="Y365" i="5"/>
  <c r="U365" i="5"/>
  <c r="X343" i="5"/>
  <c r="R343" i="5"/>
  <c r="P343" i="5"/>
  <c r="N343" i="5"/>
  <c r="W327" i="5"/>
  <c r="M323" i="5"/>
  <c r="Q306" i="5"/>
  <c r="Z306" i="5"/>
  <c r="V306" i="5"/>
  <c r="Y320" i="5"/>
  <c r="Y319" i="5" s="1"/>
  <c r="Y318" i="5" s="1"/>
  <c r="Y306" i="5" s="1"/>
  <c r="N320" i="5"/>
  <c r="N319" i="5" s="1"/>
  <c r="N318" i="5" s="1"/>
  <c r="X282" i="5"/>
  <c r="X281" i="5" s="1"/>
  <c r="X280" i="5" s="1"/>
  <c r="S282" i="5"/>
  <c r="S281" i="5" s="1"/>
  <c r="S280" i="5" s="1"/>
  <c r="N282" i="5"/>
  <c r="N281" i="5" s="1"/>
  <c r="N280" i="5" s="1"/>
  <c r="R279" i="5"/>
  <c r="R278" i="5" s="1"/>
  <c r="R275" i="5" s="1"/>
  <c r="R252" i="5"/>
  <c r="R251" i="5" s="1"/>
  <c r="X248" i="5"/>
  <c r="X247" i="5" s="1"/>
  <c r="X246" i="5" s="1"/>
  <c r="T246" i="5"/>
  <c r="P246" i="5"/>
  <c r="N248" i="5"/>
  <c r="N247" i="5" s="1"/>
  <c r="N246" i="5" s="1"/>
  <c r="L246" i="5"/>
  <c r="Z246" i="5"/>
  <c r="W246" i="5"/>
  <c r="R246" i="5"/>
  <c r="K246" i="5"/>
  <c r="X230" i="5"/>
  <c r="N230" i="5"/>
  <c r="L230" i="5"/>
  <c r="J230" i="5"/>
  <c r="X211" i="5"/>
  <c r="T211" i="5"/>
  <c r="W189" i="5"/>
  <c r="O189" i="5"/>
  <c r="Y189" i="5"/>
  <c r="V189" i="5"/>
  <c r="T189" i="5"/>
  <c r="Q189" i="5"/>
  <c r="N189" i="5"/>
  <c r="Z156" i="5"/>
  <c r="R156" i="5"/>
  <c r="N156" i="5"/>
  <c r="Z144" i="5"/>
  <c r="J246" i="5"/>
  <c r="Y246" i="5"/>
  <c r="V246" i="5"/>
  <c r="Q246" i="5"/>
  <c r="O230" i="5"/>
  <c r="O211" i="5"/>
  <c r="S189" i="5"/>
  <c r="Z189" i="5"/>
  <c r="X189" i="5"/>
  <c r="P189" i="5"/>
  <c r="X239" i="5"/>
  <c r="X238" i="5" s="1"/>
  <c r="X237" i="5" s="1"/>
  <c r="N239" i="5"/>
  <c r="T235" i="5"/>
  <c r="T230" i="5" s="1"/>
  <c r="Z133" i="5"/>
  <c r="X133" i="5"/>
  <c r="V133" i="5"/>
  <c r="T133" i="5"/>
  <c r="R133" i="5"/>
  <c r="P133" i="5"/>
  <c r="N133" i="5"/>
  <c r="L133" i="5"/>
  <c r="S123" i="5"/>
  <c r="Z123" i="5"/>
  <c r="X123" i="5"/>
  <c r="U123" i="5"/>
  <c r="R123" i="5"/>
  <c r="P123" i="5"/>
  <c r="M123" i="5"/>
  <c r="K123" i="5"/>
  <c r="W106" i="5"/>
  <c r="U106" i="5"/>
  <c r="S106" i="5"/>
  <c r="O106" i="5"/>
  <c r="M106" i="5"/>
  <c r="S83" i="5"/>
  <c r="Q83" i="5"/>
  <c r="O83" i="5"/>
  <c r="S236" i="5"/>
  <c r="S235" i="5" s="1"/>
  <c r="S230" i="5" s="1"/>
  <c r="Y133" i="5"/>
  <c r="W133" i="5"/>
  <c r="U133" i="5"/>
  <c r="S133" i="5"/>
  <c r="Q133" i="5"/>
  <c r="O133" i="5"/>
  <c r="M133" i="5"/>
  <c r="W123" i="5"/>
  <c r="O123" i="5"/>
  <c r="Y123" i="5"/>
  <c r="V123" i="5"/>
  <c r="T123" i="5"/>
  <c r="Q123" i="5"/>
  <c r="N123" i="5"/>
  <c r="L123" i="5"/>
  <c r="J123" i="5"/>
  <c r="X106" i="5"/>
  <c r="T106" i="5"/>
  <c r="L106" i="5"/>
  <c r="J106" i="5"/>
  <c r="Z83" i="5"/>
  <c r="X83" i="5"/>
  <c r="V83" i="5"/>
  <c r="T83" i="5"/>
  <c r="R83" i="5"/>
  <c r="P83" i="5"/>
  <c r="N83" i="5"/>
  <c r="L83" i="5"/>
  <c r="R120" i="5"/>
  <c r="R119" i="5" s="1"/>
  <c r="R118" i="5" s="1"/>
  <c r="Y83" i="5"/>
  <c r="W83" i="5"/>
  <c r="U83" i="5"/>
  <c r="U71" i="5"/>
  <c r="U70" i="5" s="1"/>
  <c r="U60" i="5" s="1"/>
  <c r="X72" i="5"/>
  <c r="X71" i="5" s="1"/>
  <c r="X70" i="5" s="1"/>
  <c r="L60" i="5"/>
  <c r="S45" i="5"/>
  <c r="S44" i="5" s="1"/>
  <c r="W46" i="5"/>
  <c r="W45" i="5" s="1"/>
  <c r="W44" i="5" s="1"/>
  <c r="P74" i="5"/>
  <c r="P73" i="5" s="1"/>
  <c r="P60" i="5" s="1"/>
  <c r="S75" i="5"/>
  <c r="S74" i="5" s="1"/>
  <c r="S73" i="5" s="1"/>
  <c r="M71" i="5"/>
  <c r="M70" i="5" s="1"/>
  <c r="M60" i="5" s="1"/>
  <c r="N72" i="5"/>
  <c r="N71" i="5" s="1"/>
  <c r="N70" i="5" s="1"/>
  <c r="J60" i="5"/>
  <c r="Z24" i="5"/>
  <c r="X24" i="5"/>
  <c r="T24" i="5"/>
  <c r="J24" i="5"/>
  <c r="X437" i="5" l="1"/>
  <c r="M437" i="5"/>
  <c r="T437" i="5"/>
  <c r="Y323" i="5"/>
  <c r="R144" i="5"/>
  <c r="U343" i="5"/>
  <c r="X60" i="5"/>
  <c r="U144" i="5"/>
  <c r="X18" i="5"/>
  <c r="N306" i="5"/>
  <c r="R437" i="5"/>
  <c r="N18" i="5"/>
  <c r="L343" i="5"/>
  <c r="T343" i="5"/>
  <c r="O437" i="5"/>
  <c r="K221" i="5"/>
  <c r="L437" i="5"/>
  <c r="O343" i="5"/>
  <c r="W343" i="5"/>
  <c r="U398" i="5"/>
  <c r="L398" i="5"/>
  <c r="T398" i="5"/>
  <c r="W323" i="5"/>
  <c r="Z323" i="5"/>
  <c r="T323" i="5"/>
  <c r="N323" i="5"/>
  <c r="R323" i="5"/>
  <c r="N144" i="5"/>
  <c r="V144" i="5"/>
  <c r="J18" i="5"/>
  <c r="J17" i="5" s="1"/>
  <c r="T18" i="5"/>
  <c r="T17" i="5" s="1"/>
  <c r="N60" i="5"/>
  <c r="S60" i="5"/>
  <c r="R106" i="5"/>
  <c r="S323" i="5"/>
  <c r="N437" i="5"/>
  <c r="N398" i="5" s="1"/>
  <c r="X398" i="5"/>
  <c r="J398" i="5"/>
  <c r="Y398" i="5"/>
  <c r="Z437" i="5"/>
  <c r="Z398" i="5" s="1"/>
  <c r="K441" i="5"/>
  <c r="W398" i="5"/>
  <c r="Q144" i="5"/>
  <c r="O17" i="5"/>
  <c r="O16" i="5" s="1"/>
  <c r="R60" i="5"/>
  <c r="Y144" i="5"/>
  <c r="Q18" i="5"/>
  <c r="Q17" i="5" s="1"/>
  <c r="Q16" i="5" s="1"/>
  <c r="V437" i="5"/>
  <c r="U323" i="5"/>
  <c r="X323" i="5"/>
  <c r="V323" i="5"/>
  <c r="W18" i="5"/>
  <c r="W17" i="5" s="1"/>
  <c r="M17" i="5"/>
  <c r="M16" i="5" s="1"/>
  <c r="R18" i="5"/>
  <c r="R17" i="5" s="1"/>
  <c r="S18" i="5"/>
  <c r="Z18" i="5"/>
  <c r="Z17" i="5" s="1"/>
  <c r="L221" i="5"/>
  <c r="U18" i="5"/>
  <c r="U17" i="5" s="1"/>
  <c r="P18" i="5"/>
  <c r="P17" i="5" s="1"/>
  <c r="P16" i="5" s="1"/>
  <c r="Q398" i="5"/>
  <c r="Y18" i="5"/>
  <c r="Y17" i="5" s="1"/>
  <c r="Y16" i="5" s="1"/>
  <c r="V18" i="5"/>
  <c r="V17" i="5" s="1"/>
  <c r="O398" i="5"/>
  <c r="V398" i="5"/>
  <c r="R398" i="5"/>
  <c r="M476" i="5"/>
  <c r="M398" i="5" s="1"/>
  <c r="M555" i="5" s="1"/>
  <c r="J221" i="5"/>
  <c r="P398" i="5"/>
  <c r="N238" i="5"/>
  <c r="N237" i="5" s="1"/>
  <c r="R239" i="5"/>
  <c r="R238" i="5" s="1"/>
  <c r="R237" i="5" s="1"/>
  <c r="K17" i="5"/>
  <c r="K16" i="5" s="1"/>
  <c r="K555" i="5" s="1"/>
  <c r="S398" i="5"/>
  <c r="J16" i="5"/>
  <c r="J555" i="5" s="1"/>
  <c r="L17" i="5"/>
  <c r="X17" i="5"/>
  <c r="X16" i="5" s="1"/>
  <c r="V252" i="5"/>
  <c r="N435" i="5"/>
  <c r="N434" i="5" s="1"/>
  <c r="M434" i="5"/>
  <c r="V16" i="5" l="1"/>
  <c r="N17" i="5"/>
  <c r="L16" i="5"/>
  <c r="L555" i="5" s="1"/>
  <c r="T16" i="5"/>
  <c r="T555" i="5" s="1"/>
  <c r="V555" i="5"/>
  <c r="X555" i="5"/>
  <c r="Y555" i="5"/>
  <c r="P555" i="5"/>
  <c r="U16" i="5"/>
  <c r="U555" i="5" s="1"/>
  <c r="S17" i="5"/>
  <c r="S16" i="5" s="1"/>
  <c r="S555" i="5" s="1"/>
  <c r="O555" i="5"/>
  <c r="Q555" i="5"/>
  <c r="W16" i="5"/>
  <c r="W555" i="5" s="1"/>
  <c r="Z16" i="5"/>
  <c r="Z555" i="5" s="1"/>
  <c r="N16" i="5"/>
  <c r="N555" i="5" s="1"/>
  <c r="R16" i="5"/>
  <c r="R555" i="5" s="1"/>
  <c r="V251" i="5"/>
  <c r="Y252" i="5"/>
  <c r="Y251" i="5" s="1"/>
  <c r="Z252" i="5"/>
  <c r="Z251" i="5" s="1"/>
</calcChain>
</file>

<file path=xl/sharedStrings.xml><?xml version="1.0" encoding="utf-8"?>
<sst xmlns="http://schemas.openxmlformats.org/spreadsheetml/2006/main" count="3696" uniqueCount="317">
  <si>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</si>
  <si>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</si>
  <si>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</si>
  <si>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</si>
  <si>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</si>
  <si>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</si>
  <si>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</si>
  <si>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</si>
  <si>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</si>
  <si>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</si>
  <si>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Мероприятия в сфере культуры, искусства и туризма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</si>
  <si>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</si>
  <si>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</si>
  <si>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</si>
  <si>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</si>
  <si>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</si>
  <si>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</si>
  <si>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</si>
  <si>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</si>
  <si>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</si>
  <si>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</si>
  <si>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</si>
  <si>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</si>
  <si>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</si>
  <si>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государственных полномочий по созданию комиссий по делам несовершеннолетних и защите их прав</t>
  </si>
  <si>
    <t>68</t>
  </si>
  <si>
    <t>Итого:</t>
  </si>
  <si>
    <t>8001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</si>
  <si>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</si>
  <si>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</si>
  <si>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</si>
  <si>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</si>
  <si>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II. НЕПРОГРАММНЫЕ НАПРАВЛЕНИЯ ДЕЯТЕЛЬНОСТИ</t>
  </si>
  <si>
    <t>Непрограммные расходы в области национальной безопасности и правоохранительной деятельности</t>
  </si>
  <si>
    <t>4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</si>
  <si>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</si>
  <si>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</si>
  <si>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</si>
  <si>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</si>
  <si>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</si>
  <si>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</si>
  <si>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</si>
  <si>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</si>
  <si>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</si>
  <si>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</si>
  <si>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</si>
  <si>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</si>
  <si>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</si>
  <si>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</si>
  <si>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</si>
  <si>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</si>
  <si>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</si>
  <si>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</si>
  <si>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</si>
  <si>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</si>
  <si>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</si>
  <si>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</si>
  <si>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</si>
  <si>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</si>
  <si>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</si>
  <si>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</si>
  <si>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</si>
  <si>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</si>
  <si>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</si>
  <si>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</si>
  <si>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</si>
  <si>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</si>
  <si>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Наименование</t>
  </si>
  <si>
    <t>09</t>
  </si>
  <si>
    <t>10</t>
  </si>
  <si>
    <t>11</t>
  </si>
  <si>
    <t>Мероприятия по землеустройству и землепользованию</t>
  </si>
  <si>
    <t>14</t>
  </si>
  <si>
    <t>Осуществление государственных полномочий по организации и осуществлению деятельности по опеке и попечительству</t>
  </si>
  <si>
    <t>13</t>
  </si>
  <si>
    <t>Закупка товаров, работ и услуг
для государственных (муниципальных) нужд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</si>
  <si>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</si>
  <si>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</si>
  <si>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</si>
  <si>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№ п/п</t>
  </si>
  <si>
    <t xml:space="preserve">Целевая статья 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</si>
  <si>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</si>
  <si>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</si>
  <si>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</si>
  <si>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</si>
  <si>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</si>
  <si>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</si>
  <si>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</si>
  <si>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</si>
  <si>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</si>
  <si>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</si>
  <si>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</si>
  <si>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</si>
  <si>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</si>
  <si>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</si>
  <si>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</si>
  <si>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</si>
  <si>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</si>
  <si>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</si>
  <si>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350</t>
  </si>
  <si>
    <t xml:space="preserve">Социальное обеспечение и иные выплаты населению
</t>
  </si>
  <si>
    <t>Премии и гранты</t>
  </si>
  <si>
    <t>630</t>
  </si>
  <si>
    <t>16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</si>
  <si>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</si>
  <si>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</si>
  <si>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400</t>
  </si>
  <si>
    <t>410</t>
  </si>
  <si>
    <t xml:space="preserve">Бюджетные инвестиции </t>
  </si>
  <si>
    <t>S833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</si>
  <si>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</si>
  <si>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</si>
  <si>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</si>
  <si>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</si>
  <si>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</si>
  <si>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</si>
  <si>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</si>
  <si>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</si>
  <si>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</si>
  <si>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</si>
  <si>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</si>
  <si>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>Организация ритуальных услуг и содержание мест захоронения</t>
  </si>
  <si>
    <t>S841</t>
  </si>
  <si>
    <t>18</t>
  </si>
  <si>
    <t>Мероприятия в сфере жилищного хозяйства</t>
  </si>
  <si>
    <t>8040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</si>
  <si>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</si>
  <si>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</si>
  <si>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5120</t>
  </si>
  <si>
    <t>19</t>
  </si>
  <si>
    <t>Создание условий для обеспечения поселений услугами торговли</t>
  </si>
  <si>
    <t>8014</t>
  </si>
  <si>
    <t>L497</t>
  </si>
  <si>
    <t>8038</t>
  </si>
  <si>
    <t>870</t>
  </si>
  <si>
    <t xml:space="preserve">  к решению Собрания депутатов </t>
  </si>
  <si>
    <t>Д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</si>
  <si>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</si>
  <si>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</si>
  <si>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</si>
  <si>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</si>
  <si>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</si>
  <si>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L576</t>
  </si>
  <si>
    <t>8053</t>
  </si>
  <si>
    <t>Организация сбора, транспортировки и утилизации отходов</t>
  </si>
  <si>
    <t>Иные общегосударственные вопросы</t>
  </si>
  <si>
    <t>8069</t>
  </si>
  <si>
    <t xml:space="preserve">Разработка генеральных планов и правил землепользования и застройки, проектов планировки территории и проектов межеваний территорий </t>
  </si>
  <si>
    <t>8017</t>
  </si>
  <si>
    <t>8068</t>
  </si>
  <si>
    <t>620</t>
  </si>
  <si>
    <t xml:space="preserve"> Внедрение и обеспечение функционирования модели персонифицированного финансирования дополнительного образования детей</t>
  </si>
  <si>
    <t xml:space="preserve">   Субсидии автономным учреждениям</t>
  </si>
  <si>
    <t>L304</t>
  </si>
  <si>
    <t>8055</t>
  </si>
  <si>
    <t xml:space="preserve">  Мероприятия в сфере молодежной политики</t>
  </si>
  <si>
    <t>L519</t>
  </si>
  <si>
    <t>Субсидии автономным учреждениям</t>
  </si>
  <si>
    <t>Сумма, рублей</t>
  </si>
  <si>
    <t>2022 год</t>
  </si>
  <si>
    <t>2024 год</t>
  </si>
  <si>
    <t>Вид расходов</t>
  </si>
  <si>
    <t>5303</t>
  </si>
  <si>
    <t>8</t>
  </si>
  <si>
    <t>Организация транспортного обслуживания по муниципальным маршрутам регулярных автобусных перевозок</t>
  </si>
  <si>
    <t>8072</t>
  </si>
  <si>
    <t>310</t>
  </si>
  <si>
    <t>Публичные нормативные социальные выплаты гражданам</t>
  </si>
  <si>
    <t>Условно утвержденные расходы</t>
  </si>
  <si>
    <t>21</t>
  </si>
  <si>
    <t>поправки</t>
  </si>
  <si>
    <t>Мероприятия в сфере обеспечения пожарной безопасности и защиты населения от чрезвычайных ситуаций</t>
  </si>
  <si>
    <t>S824</t>
  </si>
  <si>
    <t>S682</t>
  </si>
  <si>
    <t>2025 год</t>
  </si>
  <si>
    <t>Пенсия за выслугу лет муниципальным служащим</t>
  </si>
  <si>
    <t>82</t>
  </si>
  <si>
    <t>S822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</si>
  <si>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</si>
  <si>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S031</t>
  </si>
  <si>
    <t>20</t>
  </si>
  <si>
    <t>2026 год</t>
  </si>
  <si>
    <t>Распределение  бюджетных ассигнований на реализацию муниципальных программ Пинежского муниципального округа и непрограммных направлений деятельности на 2024 год и на плановый период 2025 и 2026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</si>
  <si>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 </t>
  </si>
  <si>
    <t>Субвенции бюджетам муниципальных районов, муниципальных округов и городских округов Архангельской области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</si>
  <si>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Л865</t>
  </si>
  <si>
    <t>Субвенции бюджетам муниципальных районов, муниципальных округов и городских округов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</si>
  <si>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Л839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</si>
  <si>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</si>
  <si>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Л862</t>
  </si>
  <si>
    <t>Субвенции бюджетам муниципальных районов, муниципальных округов и городских округов Архангельской области на реализацию образовательных программ</t>
  </si>
  <si>
    <t>Л870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</si>
  <si>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формированию торгового реестра</t>
  </si>
  <si>
    <t>Л879</t>
  </si>
  <si>
    <t>5118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</si>
  <si>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</si>
  <si>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Л871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</si>
  <si>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в сфере охраны труда</t>
  </si>
  <si>
    <t>Субсидия бюджетам муниципальных районов, муниципальных округов и городских округов Архангельской области на доставку муки и лекарственных средств в районы Крайнего Севера и приравненные к ним местности с ограниченными сроками завоза грузов</t>
  </si>
  <si>
    <t>Л832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</si>
  <si>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</si>
  <si>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Л873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</si>
  <si>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выплате вознаграждений профессиональным опекунам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</si>
  <si>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</si>
  <si>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Субсидии бюджетам муниципальных районов, муниципальных округов и городских округов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</si>
  <si>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районов, муниципальных округов, городских округов и городских поселений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</si>
  <si>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</si>
  <si>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Иные межбюджетные трансферты бюджетам муниципальных районов, муниципальных округов и городских округов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</si>
  <si>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софинансирование капитальных вложений в объекты муниципальной собственности муниципальных образований Архангельской области</t>
  </si>
  <si>
    <t>S842</t>
  </si>
  <si>
    <t>Иные межбюджетные трансферты бюджетам муниципальных районов, муниципальных округов и городских округов Архангельской области на поддержку территориального общественного самоуправления</t>
  </si>
  <si>
    <t>Л863</t>
  </si>
  <si>
    <t>Субвенции бюджетам муниципальных округов Архангельской области на осуществление государственных полномочий Архангельской области по выплате денежной компенсации отдельным категориям лиц, замещавшим муниципальные должности, в случае досрочного прекращения их полномочий в связи с созданием муниципальных округов Архангельской области</t>
  </si>
  <si>
    <t>Субсидии бюджетам муниципальных районов, муниципальных округов, городских и сельских поселений Архангельской области на софинансирование выплаты выходных пособий муниципальным служащим и другим работникам органов местного самоуправления, уволенным в связи с ликвидацией таких органов вследствие создания муниципальных округов Архангельской области, и среднего месячного заработка за период трудоустройства или единовременной компенсации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</si>
  <si>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</si>
  <si>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Л869</t>
  </si>
  <si>
    <t>Реализация мероприятий по обеспечению жильем молодых семей (субсидии бюджетам муниципальных районов, муниципальных округов, городских округов и городских поселений Архангельской области на софинансирование расходных обязательств муниципальных образований Архангельской области на предоставление социальных выплат молодым семьям на приобретение (строительство) жилья)</t>
  </si>
  <si>
    <t>Л</t>
  </si>
  <si>
    <t>Обеспечение комплексного развития сельских территорий (субсидии бюджетам муниципальных районов, муниципальных округов и городских округов Архангельской области на улучшение жилищных условий граждан, проживающих на сельских территориях)</t>
  </si>
  <si>
    <t>S645</t>
  </si>
  <si>
    <t>Муниципальная программа "Развитие общего образования и воспитания детей в Пинежском муниципальном округе"</t>
  </si>
  <si>
    <t>67</t>
  </si>
  <si>
    <t xml:space="preserve">Поддержка муниципальных программ формирования современной городской среды </t>
  </si>
  <si>
    <t>8058</t>
  </si>
  <si>
    <t>Контрольно-счетная комиссия Пинежского муниципального округа</t>
  </si>
  <si>
    <t>Председатель Контрольно-счетной комиссии Пинежского муниципального округа</t>
  </si>
  <si>
    <t>Муниципальная программа "Развитие агропромышленного комплекса Пинежского муниципального округа Архангельской области"</t>
  </si>
  <si>
    <t>Муниципальная программа "Комплексное развитие сельских территорий Пинежского муниципального округа Архангельской области"</t>
  </si>
  <si>
    <t>Муниципальная программа "Развитие земельно-имущественных отношений в  Пинежском муниципальном округе Архангельской области"</t>
  </si>
  <si>
    <t>Муниципальная программа "Энергосбережение и повышение энергетической эффективности в Пинежском муниципальном округе Архангельской области"</t>
  </si>
  <si>
    <t xml:space="preserve">Муниципальная программа "Капитальный ремонт, ремонт и переустройство жилых помещений в муниципальном жилищном фонде Пинежского  муниципального округа Архангельской области" </t>
  </si>
  <si>
    <t xml:space="preserve"> Муниципальная программа "Формирование современной городской среды Пинежского муниципального округа Архангельской области"</t>
  </si>
  <si>
    <t>Муниципальная программа "Охрана окружающей среды в Пинежском муниципальном округе Архангельской области"</t>
  </si>
  <si>
    <t>22</t>
  </si>
  <si>
    <t xml:space="preserve"> Муниципальная программа "Благоустройство территории Пинежского муниципального округа Архангельской области "</t>
  </si>
  <si>
    <t>8081</t>
  </si>
  <si>
    <t>Мероприятия по благоустройству территорий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</si>
  <si>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округа Архангельской области"</t>
  </si>
  <si>
    <t>Муниципальная программа "Развитие сферы культуры в Пинежском муниципальном округе Архангельской области"</t>
  </si>
  <si>
    <t>Подпрограмма "Развитие сферы культуры в Пинежском муниципальном округе"</t>
  </si>
  <si>
    <t>Подпрограмма "Развитие библиотечного дела  в Пинежском муниципальном округе"</t>
  </si>
  <si>
    <t>Осуществление государственных полномочий в сфере административных правонарушений</t>
  </si>
  <si>
    <t>23</t>
  </si>
  <si>
    <t xml:space="preserve">Муниципальная программа
"Развитие туризма в  Пинежском муниципальном округе"
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</si>
  <si>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</t>
  </si>
  <si>
    <t>24</t>
  </si>
  <si>
    <t xml:space="preserve"> Муниципальная программа "Защита населения на территории Пинежского муниципального округа  Архангельской области от чрезвычайных ситуаций, обеспечение пожарной безопасности и обеспечение безопасности людей на водных объектах"                      </t>
  </si>
  <si>
    <t xml:space="preserve">Муниципальная программа "Управление муниципальными финансами Пинежского муниципального округа Архангельской области" </t>
  </si>
  <si>
    <t>Мероприятия в сфере защиты населения и территорий Пинежского округа от чрезвычайных ситуаций, осуществляемые органами местного самоуправления</t>
  </si>
  <si>
    <t xml:space="preserve">Предоставление мер социальной поддержки отдельных категорий квалифицированных специалистов финансируемых из бюджета Пинежского муниципального округа </t>
  </si>
  <si>
    <t>Муниципальная программа "Развитие и поддержка институтов гражданского общества на территории Пинежского муниципального округа Архангельской области"</t>
  </si>
  <si>
    <t>S889</t>
  </si>
  <si>
    <t>Иные межбюджетные трансферты бюджетам муниципальных районов, муниципальных округов и городских округов Архангельской области на развитие инициативных проектов в рамках регионального проекта «Комфортное Поморье»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</si>
  <si>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</si>
  <si>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</si>
  <si>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Муниципальная программа "Молодёжь Пинежья"</t>
  </si>
  <si>
    <t>Муниципальная программа "Обеспечение жильём молодых семей"</t>
  </si>
  <si>
    <t>Муниципальная программа "Улучшение эксплуатационного состояния автомобильных дорог общего пользования местного значения, а также организация осуществления перевозок пассажиров и багажа на социально значимых маршрутах муниципального сообщения  Пинежского муниципального округа Архангельской области"</t>
  </si>
  <si>
    <t>Муниципальная программа "Развитие физической культуры и спорта"</t>
  </si>
  <si>
    <t xml:space="preserve">Муниципальная программа
"Совершенствование муниципального управления в Администрации Пинежского муниципального округа Архангельской области"
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</si>
  <si>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</si>
  <si>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</si>
  <si>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Собрание депутатов муниципального образования</t>
  </si>
  <si>
    <t>Резервный фонд администрации Пинежского муниципального округа Архангельской области</t>
  </si>
  <si>
    <t>Субсидии бюджетам муниципальных районов, муниципальных округов и городских округов Архангельской области на реализацию мероприятий по финансовой поддержке социально ориентированных некоммерческих организаций</t>
  </si>
  <si>
    <t>Поддержка территориального общественного самоуправления в Пинежском муниципальном округе</t>
  </si>
  <si>
    <t>360</t>
  </si>
  <si>
    <t>Иные выплаты населению</t>
  </si>
  <si>
    <t>Муниципальная программа "Профилактика правонарушений на территории Пинежского муниципального округа Архангельской области"</t>
  </si>
  <si>
    <t>Подпрограмма "Охрана общественного порядка на территории Пинежского муниципального округа Архангельской области"</t>
  </si>
  <si>
    <t>Подпрограмма "Профилактика безнадзорности и правонарушений несовершеннолетних на территории Пинежского муниципального округа Архангельской области"</t>
  </si>
  <si>
    <t>Муниципальная программа "Развитие торговли в  Пинежском муниципальном округе Архангельской области"</t>
  </si>
  <si>
    <t>S840</t>
  </si>
  <si>
    <t xml:space="preserve">Субсидии бюджетам муниципальных районов, муниципальных округов и городских округов Архангельской области на проведение комплексных кадастровых работ (без федерального софинансирования)
</t>
  </si>
  <si>
    <t>Э816</t>
  </si>
  <si>
    <t>от 20 декабря 2023 года № 47</t>
  </si>
  <si>
    <t xml:space="preserve">Обеспечение комплексного развития сельских территорий (строительство плоскостного спортивного сооружения в с. Карпогоры Архангельской области, кадастровый квартал 29:14:050303)
</t>
  </si>
  <si>
    <t>от                            2024 года №</t>
  </si>
  <si>
    <t>Непрограммные расходы в области национальной обороны</t>
  </si>
  <si>
    <t>L750</t>
  </si>
  <si>
    <t>7</t>
  </si>
  <si>
    <t>L467</t>
  </si>
  <si>
    <t>S656</t>
  </si>
  <si>
    <t>Э680</t>
  </si>
  <si>
    <t>Э466</t>
  </si>
  <si>
    <t>Е</t>
  </si>
  <si>
    <t>В</t>
  </si>
  <si>
    <t>5179</t>
  </si>
  <si>
    <t>8079</t>
  </si>
  <si>
    <t xml:space="preserve">Строительство здания культурно-досугового центра в пос. Пинега Архангельской области </t>
  </si>
  <si>
    <t xml:space="preserve">                 к решению Собрания депутатов </t>
  </si>
  <si>
    <t xml:space="preserve">  Обеспечение комплексного развития сельских территорий (капитальный ремонт системы водоотведения в с.Карпогоры Пинежского района Архангельской области протяженностью 5047м)</t>
  </si>
  <si>
    <t>А</t>
  </si>
  <si>
    <t>5454</t>
  </si>
  <si>
    <t>S698</t>
  </si>
  <si>
    <t xml:space="preserve">  Субсидии бюджетам муниципальных районов, муниципальных округов и городских округов Архангельской области на обеспечение условий для развития кадрового потенциала муниципальных образовательных организаций в Архангельской области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</si>
  <si>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оорганизациях (иные межбюджетные трансферты бюджетам муниципальных районов. муниципальных округов и городских округов Архангельской области)</t>
  </si>
  <si>
    <t xml:space="preserve">  Иные межбюджетные трансферты бюджетам муниципальных районов, муниципальных округов и городских округов Архангельской области на обеспечение мероприятий по организации предоставления дополнительных мер социальной поддержки семьям граждан, принимающих(принимавших) участи в специальной военной операции,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организациях, бесплатного посещения обучающимся занятий по дополнительным общеобразовательным программам, реализуемым на платной основе муниципальными образовательными организациями, а также бесплатного присмотра и ухода за детьми, посещающими муниципальные образовательные организации, реализующие программы дошкольного образования, или группы продленного дня в общеобразовательных организациях</t>
  </si>
  <si>
    <t xml:space="preserve">  Иные межбюджетные трансферты муниципальных районов. муниципальных округов и городских округов Архангельской области на организацию транспортного обслуживания на пассажирских муниципальных маршрутах водного транспорта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</si>
  <si>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бюджетам муниципальных районов, муниципальных округов, городских округов, городских и сельских поселений Архангельской области)</t>
  </si>
  <si>
    <t>Создание модельных муниципальных библиотек (субсидии бюджетам муниципальных районов, муниципальных округов, городских и сельских поселений Архангельской области)</t>
  </si>
  <si>
    <t>R303</t>
  </si>
  <si>
    <t>5519</t>
  </si>
  <si>
    <t xml:space="preserve">  Государственная поддержка отрасли культуры (государственная поддержка лучших работников сельских учреждений культуры (субсидии бюджетам муниципальных районов, муниципальных округов, городских и сельских поселений Архангельской области))</t>
  </si>
  <si>
    <t>Закупка оборудования для создания «Умных» спортивных площадок</t>
  </si>
  <si>
    <t>8080</t>
  </si>
  <si>
    <t>F</t>
  </si>
  <si>
    <t>5555</t>
  </si>
  <si>
    <t xml:space="preserve">Реализация муниципальных программ формирования современной городской среды (субсидии бюджетам муниципальных районов, муниципальных округов, городских округов, городских и сельских поселений Архангельской области) </t>
  </si>
  <si>
    <t>8082</t>
  </si>
  <si>
    <t>Оплата кредиторской задолженности прошлых лет</t>
  </si>
  <si>
    <t>S696</t>
  </si>
  <si>
    <t>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</si>
  <si>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 xml:space="preserve"> 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</si>
  <si>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Реализация мероприятий по модернизации школьных систем образования (иные межбюджетные трансферты бюджетам муниципальных районов, муниципальных округов и городских округов Архангельской области )</t>
  </si>
  <si>
    <t xml:space="preserve">Приложение № 5 </t>
  </si>
  <si>
    <t xml:space="preserve">             Приложение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</si>
</sst>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_-* #,##0.0\ _₽_-;\-* #,##0.0\ _₽_-;_-* &quot;-&quot;?\ _₽_-;_-@_-"/>
  </numFmts>
  <fonts count="4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4" fillId="18" borderId="1" applyNumberFormat="0" applyAlignment="0" applyProtection="0"/>
    <xf numFmtId="0" fontId="15" fillId="19" borderId="2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18" borderId="8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25" fillId="20" borderId="0"/>
    <xf numFmtId="0" fontId="25" fillId="0" borderId="0">
      <alignment wrapText="1"/>
    </xf>
    <xf numFmtId="0" fontId="25" fillId="0" borderId="0"/>
    <xf numFmtId="0" fontId="29" fillId="0" borderId="0">
      <alignment horizontal="center" wrapText="1"/>
    </xf>
    <xf numFmtId="0" fontId="29" fillId="0" borderId="0">
      <alignment horizontal="center"/>
    </xf>
    <xf numFmtId="0" fontId="25" fillId="0" borderId="0">
      <alignment horizontal="right"/>
    </xf>
    <xf numFmtId="0" fontId="25" fillId="20" borderId="10"/>
    <xf numFmtId="0" fontId="25" fillId="0" borderId="11">
      <alignment horizontal="center" vertical="center" wrapText="1"/>
    </xf>
    <xf numFmtId="0" fontId="25" fillId="20" borderId="12"/>
    <xf numFmtId="49" fontId="25" fillId="0" borderId="11">
      <alignment horizontal="left" vertical="top" wrapText="1" indent="2"/>
    </xf>
    <xf numFmtId="49" fontId="25" fillId="0" borderId="11">
      <alignment horizontal="center" vertical="top" shrinkToFit="1"/>
    </xf>
    <xf numFmtId="4" fontId="25" fillId="0" borderId="11">
      <alignment horizontal="right" vertical="top" shrinkToFit="1"/>
    </xf>
    <xf numFmtId="10" fontId="25" fillId="0" borderId="11">
      <alignment horizontal="right" vertical="top" shrinkToFit="1"/>
    </xf>
    <xf numFmtId="0" fontId="25" fillId="20" borderId="12">
      <alignment shrinkToFit="1"/>
    </xf>
    <xf numFmtId="0" fontId="30" fillId="0" borderId="11">
      <alignment horizontal="left"/>
    </xf>
    <xf numFmtId="4" fontId="30" fillId="4" borderId="11">
      <alignment horizontal="right" vertical="top" shrinkToFit="1"/>
    </xf>
    <xf numFmtId="10" fontId="30" fillId="4" borderId="11">
      <alignment horizontal="right" vertical="top" shrinkToFit="1"/>
    </xf>
    <xf numFmtId="0" fontId="25" fillId="20" borderId="13"/>
    <xf numFmtId="0" fontId="25" fillId="0" borderId="0">
      <alignment horizontal="left" wrapText="1"/>
    </xf>
    <xf numFmtId="0" fontId="30" fillId="0" borderId="11">
      <alignment vertical="top" wrapText="1"/>
    </xf>
    <xf numFmtId="4" fontId="30" fillId="9" borderId="11">
      <alignment horizontal="right" vertical="top" shrinkToFit="1"/>
    </xf>
    <xf numFmtId="10" fontId="30" fillId="9" borderId="11">
      <alignment horizontal="right" vertical="top" shrinkToFit="1"/>
    </xf>
    <xf numFmtId="0" fontId="25" fillId="20" borderId="12">
      <alignment horizontal="center"/>
    </xf>
    <xf numFmtId="0" fontId="25" fillId="20" borderId="12">
      <alignment horizontal="left"/>
    </xf>
    <xf numFmtId="0" fontId="25" fillId="20" borderId="13">
      <alignment horizontal="center"/>
    </xf>
    <xf numFmtId="0" fontId="25" fillId="20" borderId="13">
      <alignment horizontal="left"/>
    </xf>
    <xf numFmtId="0" fontId="4" fillId="0" borderId="0"/>
    <xf numFmtId="0" fontId="2" fillId="0" borderId="0"/>
    <xf numFmtId="0" fontId="2" fillId="21" borderId="0"/>
  </cellStyleXfs>
  <cellXfs count="321">
    <xf numFmtId="0" fontId="0" fillId="0" borderId="0" xfId="0"/>
    <xf numFmtId="4" fontId="3" fillId="0" borderId="16" xfId="0" applyNumberFormat="1" applyFont="1" applyFill="1" applyBorder="1" applyAlignment="1">
      <alignment vertical="center"/>
    </xf>
    <xf numFmtId="0" fontId="31" fillId="22" borderId="0" xfId="0" applyFont="1" applyFill="1" applyBorder="1" applyAlignment="1"/>
    <xf numFmtId="4" fontId="1" fillId="0" borderId="15" xfId="0" applyNumberFormat="1" applyFont="1" applyFill="1" applyBorder="1" applyAlignment="1">
      <alignment horizontal="right" vertical="distributed"/>
    </xf>
    <xf numFmtId="49" fontId="5" fillId="0" borderId="16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right" vertical="distributed"/>
    </xf>
    <xf numFmtId="4" fontId="3" fillId="0" borderId="0" xfId="0" applyNumberFormat="1" applyFont="1" applyFill="1" applyBorder="1" applyAlignment="1">
      <alignment horizontal="right" vertical="distributed"/>
    </xf>
    <xf numFmtId="4" fontId="3" fillId="0" borderId="15" xfId="0" applyNumberFormat="1" applyFont="1" applyFill="1" applyBorder="1" applyAlignment="1">
      <alignment horizontal="right" vertical="distributed"/>
    </xf>
    <xf numFmtId="49" fontId="3" fillId="0" borderId="0" xfId="73" applyNumberFormat="1" applyFont="1" applyFill="1" applyBorder="1" applyAlignment="1">
      <alignment horizontal="center" vertical="distributed"/>
    </xf>
    <xf numFmtId="49" fontId="3" fillId="0" borderId="18" xfId="73" applyNumberFormat="1" applyFont="1" applyFill="1" applyBorder="1" applyAlignment="1">
      <alignment horizontal="center" vertical="distributed"/>
    </xf>
    <xf numFmtId="4" fontId="3" fillId="0" borderId="0" xfId="73" applyNumberFormat="1" applyFont="1" applyFill="1" applyBorder="1" applyAlignment="1">
      <alignment horizontal="right" vertical="distributed"/>
    </xf>
    <xf numFmtId="4" fontId="3" fillId="0" borderId="15" xfId="73" applyNumberFormat="1" applyFont="1" applyFill="1" applyBorder="1" applyAlignment="1">
      <alignment horizontal="right" vertical="distributed"/>
    </xf>
    <xf numFmtId="49" fontId="2" fillId="0" borderId="0" xfId="73" applyNumberFormat="1" applyFont="1" applyFill="1" applyBorder="1" applyAlignment="1">
      <alignment horizontal="center" vertical="distributed"/>
    </xf>
    <xf numFmtId="49" fontId="5" fillId="0" borderId="0" xfId="73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</xf>
    <xf numFmtId="49" fontId="5" fillId="0" borderId="0" xfId="73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distributed"/>
    </xf>
    <xf numFmtId="49" fontId="3" fillId="0" borderId="16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distributed" wrapText="1"/>
    </xf>
    <xf numFmtId="49" fontId="33" fillId="0" borderId="0" xfId="0" applyNumberFormat="1" applyFont="1" applyFill="1" applyBorder="1" applyAlignment="1">
      <alignment horizontal="center" vertical="distributed"/>
    </xf>
    <xf numFmtId="49" fontId="3" fillId="0" borderId="19" xfId="0" applyNumberFormat="1" applyFont="1" applyFill="1" applyBorder="1" applyAlignment="1">
      <alignment horizontal="center" vertical="distributed"/>
    </xf>
    <xf numFmtId="49" fontId="3" fillId="0" borderId="21" xfId="0" applyNumberFormat="1" applyFont="1" applyFill="1" applyBorder="1" applyAlignment="1">
      <alignment horizontal="center" vertical="distributed"/>
    </xf>
    <xf numFmtId="49" fontId="3" fillId="0" borderId="21" xfId="73" applyNumberFormat="1" applyFont="1" applyFill="1" applyBorder="1" applyAlignment="1">
      <alignment horizontal="center" vertical="distributed"/>
    </xf>
    <xf numFmtId="49" fontId="5" fillId="0" borderId="21" xfId="73" applyNumberFormat="1" applyFont="1" applyFill="1" applyBorder="1" applyAlignment="1">
      <alignment horizontal="center" vertical="distributed"/>
    </xf>
    <xf numFmtId="49" fontId="3" fillId="0" borderId="22" xfId="73" applyNumberFormat="1" applyFont="1" applyFill="1" applyBorder="1" applyAlignment="1">
      <alignment horizontal="center" vertical="distributed"/>
    </xf>
    <xf numFmtId="4" fontId="3" fillId="0" borderId="21" xfId="73" applyNumberFormat="1" applyFont="1" applyFill="1" applyBorder="1" applyAlignment="1">
      <alignment horizontal="right" vertical="distributed"/>
    </xf>
    <xf numFmtId="4" fontId="3" fillId="0" borderId="23" xfId="73" applyNumberFormat="1" applyFont="1" applyFill="1" applyBorder="1" applyAlignment="1">
      <alignment horizontal="right" vertical="distributed"/>
    </xf>
    <xf numFmtId="49" fontId="3" fillId="0" borderId="27" xfId="73" applyNumberFormat="1" applyFont="1" applyFill="1" applyBorder="1" applyAlignment="1">
      <alignment horizontal="center" vertical="distributed"/>
    </xf>
    <xf numFmtId="4" fontId="5" fillId="0" borderId="0" xfId="0" applyNumberFormat="1" applyFont="1" applyFill="1" applyBorder="1" applyAlignment="1">
      <alignment horizontal="right" vertical="distributed"/>
    </xf>
    <xf numFmtId="4" fontId="5" fillId="0" borderId="15" xfId="0" applyNumberFormat="1" applyFont="1" applyFill="1" applyBorder="1" applyAlignment="1">
      <alignment horizontal="right" vertical="distributed"/>
    </xf>
    <xf numFmtId="49" fontId="3" fillId="0" borderId="16" xfId="73" applyNumberFormat="1" applyFont="1" applyFill="1" applyBorder="1" applyAlignment="1">
      <alignment horizontal="center" vertical="distributed"/>
    </xf>
    <xf numFmtId="49" fontId="3" fillId="0" borderId="16" xfId="73" applyNumberFormat="1" applyFont="1" applyFill="1" applyBorder="1" applyAlignment="1">
      <alignment horizontal="center" vertical="distributed" wrapText="1"/>
    </xf>
    <xf numFmtId="49" fontId="2" fillId="0" borderId="16" xfId="73" applyNumberFormat="1" applyFont="1" applyFill="1" applyBorder="1" applyAlignment="1">
      <alignment horizontal="center" vertical="distributed"/>
    </xf>
    <xf numFmtId="49" fontId="2" fillId="0" borderId="19" xfId="73" applyNumberFormat="1" applyFont="1" applyFill="1" applyBorder="1" applyAlignment="1">
      <alignment horizontal="center" vertical="distributed"/>
    </xf>
    <xf numFmtId="49" fontId="2" fillId="0" borderId="21" xfId="73" applyNumberFormat="1" applyFont="1" applyFill="1" applyBorder="1" applyAlignment="1">
      <alignment horizontal="center" vertical="distributed"/>
    </xf>
    <xf numFmtId="49" fontId="3" fillId="0" borderId="16" xfId="73" applyNumberFormat="1" applyFont="1" applyFill="1" applyBorder="1" applyAlignment="1">
      <alignment horizontal="center" vertical="center"/>
    </xf>
    <xf numFmtId="4" fontId="3" fillId="0" borderId="0" xfId="73" applyNumberFormat="1" applyFont="1" applyFill="1" applyBorder="1" applyAlignment="1">
      <alignment vertical="center"/>
    </xf>
    <xf numFmtId="4" fontId="3" fillId="22" borderId="0" xfId="73" applyNumberFormat="1" applyFont="1" applyFill="1" applyBorder="1" applyAlignment="1">
      <alignment horizontal="right" vertical="distributed"/>
    </xf>
    <xf numFmtId="4" fontId="3" fillId="22" borderId="15" xfId="73" applyNumberFormat="1" applyFont="1" applyFill="1" applyBorder="1" applyAlignment="1">
      <alignment horizontal="right" vertical="distributed"/>
    </xf>
    <xf numFmtId="4" fontId="3" fillId="22" borderId="0" xfId="73" applyNumberFormat="1" applyFont="1" applyFill="1" applyBorder="1" applyAlignment="1">
      <alignment vertical="center"/>
    </xf>
    <xf numFmtId="4" fontId="3" fillId="22" borderId="15" xfId="7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distributed"/>
    </xf>
    <xf numFmtId="49" fontId="3" fillId="0" borderId="19" xfId="73" applyNumberFormat="1" applyFont="1" applyFill="1" applyBorder="1" applyAlignment="1">
      <alignment horizontal="center" vertical="distributed"/>
    </xf>
    <xf numFmtId="0" fontId="3" fillId="0" borderId="0" xfId="73" applyFont="1" applyFill="1" applyBorder="1" applyAlignment="1">
      <alignment horizontal="center" vertical="distributed"/>
    </xf>
    <xf numFmtId="49" fontId="3" fillId="0" borderId="21" xfId="73" applyNumberFormat="1" applyFont="1" applyFill="1" applyBorder="1" applyAlignment="1">
      <alignment horizontal="center" vertical="center"/>
    </xf>
    <xf numFmtId="49" fontId="5" fillId="0" borderId="21" xfId="73" applyNumberFormat="1" applyFont="1" applyFill="1" applyBorder="1" applyAlignment="1">
      <alignment horizontal="center" vertical="center"/>
    </xf>
    <xf numFmtId="49" fontId="3" fillId="0" borderId="0" xfId="73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49" fontId="3" fillId="0" borderId="0" xfId="73" applyNumberFormat="1" applyFont="1" applyFill="1" applyAlignment="1">
      <alignment horizontal="center" vertical="center"/>
    </xf>
    <xf numFmtId="0" fontId="3" fillId="22" borderId="0" xfId="73" applyFont="1" applyFill="1"/>
    <xf numFmtId="49" fontId="3" fillId="22" borderId="0" xfId="73" applyNumberFormat="1" applyFont="1" applyFill="1"/>
    <xf numFmtId="0" fontId="3" fillId="0" borderId="0" xfId="73" applyFont="1" applyFill="1"/>
    <xf numFmtId="0" fontId="3" fillId="22" borderId="0" xfId="73" applyFont="1" applyFill="1" applyBorder="1" applyAlignment="1">
      <alignment horizontal="center"/>
    </xf>
    <xf numFmtId="49" fontId="3" fillId="0" borderId="26" xfId="73" applyNumberFormat="1" applyFont="1" applyFill="1" applyBorder="1" applyAlignment="1">
      <alignment horizontal="center" vertical="center" wrapText="1"/>
    </xf>
    <xf numFmtId="0" fontId="3" fillId="0" borderId="28" xfId="73" applyFont="1" applyFill="1" applyBorder="1" applyAlignment="1">
      <alignment horizontal="center" vertical="center" wrapText="1"/>
    </xf>
    <xf numFmtId="0" fontId="3" fillId="0" borderId="28" xfId="73" applyFont="1" applyFill="1" applyBorder="1" applyAlignment="1">
      <alignment horizontal="center" vertical="center"/>
    </xf>
    <xf numFmtId="0" fontId="3" fillId="0" borderId="30" xfId="73" applyFont="1" applyFill="1" applyBorder="1" applyAlignment="1">
      <alignment horizontal="center" vertical="center"/>
    </xf>
    <xf numFmtId="0" fontId="8" fillId="0" borderId="29" xfId="73" applyFont="1" applyFill="1" applyBorder="1" applyAlignment="1">
      <alignment horizontal="center" vertical="center" wrapText="1"/>
    </xf>
    <xf numFmtId="0" fontId="8" fillId="0" borderId="31" xfId="73" applyFont="1" applyFill="1" applyBorder="1" applyAlignment="1">
      <alignment horizontal="center" vertical="center" wrapText="1"/>
    </xf>
    <xf numFmtId="0" fontId="8" fillId="0" borderId="28" xfId="73" applyFont="1" applyFill="1" applyBorder="1" applyAlignment="1">
      <alignment horizontal="center" vertical="center" wrapText="1"/>
    </xf>
    <xf numFmtId="0" fontId="9" fillId="0" borderId="28" xfId="73" applyFont="1" applyFill="1" applyBorder="1" applyAlignment="1">
      <alignment horizontal="center" vertical="center"/>
    </xf>
    <xf numFmtId="0" fontId="9" fillId="0" borderId="30" xfId="73" applyFont="1" applyFill="1" applyBorder="1" applyAlignment="1">
      <alignment horizontal="center" vertical="center"/>
    </xf>
    <xf numFmtId="0" fontId="3" fillId="0" borderId="0" xfId="73" applyFont="1" applyFill="1" applyAlignment="1">
      <alignment vertical="center"/>
    </xf>
    <xf numFmtId="49" fontId="3" fillId="0" borderId="32" xfId="73" applyNumberFormat="1" applyFont="1" applyFill="1" applyBorder="1" applyAlignment="1">
      <alignment horizontal="center" vertical="center" wrapText="1"/>
    </xf>
    <xf numFmtId="0" fontId="8" fillId="0" borderId="26" xfId="73" applyFont="1" applyFill="1" applyBorder="1" applyAlignment="1">
      <alignment horizontal="center" vertical="center" wrapText="1"/>
    </xf>
    <xf numFmtId="0" fontId="3" fillId="0" borderId="27" xfId="73" applyFont="1" applyFill="1" applyBorder="1" applyAlignment="1">
      <alignment horizontal="center" vertical="center" wrapText="1"/>
    </xf>
    <xf numFmtId="0" fontId="3" fillId="0" borderId="25" xfId="73" applyFont="1" applyFill="1" applyBorder="1" applyAlignment="1">
      <alignment horizontal="center" vertical="center" wrapText="1"/>
    </xf>
    <xf numFmtId="49" fontId="3" fillId="0" borderId="24" xfId="73" applyNumberFormat="1" applyFont="1" applyFill="1" applyBorder="1" applyAlignment="1">
      <alignment horizontal="center" vertical="center" wrapText="1"/>
    </xf>
    <xf numFmtId="4" fontId="3" fillId="0" borderId="27" xfId="73" applyNumberFormat="1" applyFont="1" applyFill="1" applyBorder="1"/>
    <xf numFmtId="4" fontId="3" fillId="0" borderId="26" xfId="73" applyNumberFormat="1" applyFont="1" applyFill="1" applyBorder="1"/>
    <xf numFmtId="4" fontId="3" fillId="0" borderId="24" xfId="73" applyNumberFormat="1" applyFont="1" applyFill="1" applyBorder="1"/>
    <xf numFmtId="49" fontId="35" fillId="0" borderId="33" xfId="73" applyNumberFormat="1" applyFont="1" applyFill="1" applyBorder="1" applyAlignment="1">
      <alignment horizontal="center" vertical="center" wrapText="1"/>
    </xf>
    <xf numFmtId="0" fontId="36" fillId="0" borderId="16" xfId="73" applyFont="1" applyFill="1" applyBorder="1" applyAlignment="1">
      <alignment horizontal="left" vertical="center" wrapText="1"/>
    </xf>
    <xf numFmtId="49" fontId="37" fillId="0" borderId="16" xfId="73" applyNumberFormat="1" applyFont="1" applyFill="1" applyBorder="1" applyAlignment="1">
      <alignment horizontal="center" vertical="center" wrapText="1"/>
    </xf>
    <xf numFmtId="49" fontId="37" fillId="0" borderId="0" xfId="73" applyNumberFormat="1" applyFont="1" applyFill="1" applyBorder="1" applyAlignment="1">
      <alignment horizontal="center" vertical="center" wrapText="1"/>
    </xf>
    <xf numFmtId="0" fontId="37" fillId="0" borderId="0" xfId="73" applyFont="1" applyFill="1" applyBorder="1" applyAlignment="1">
      <alignment horizontal="center" vertical="center" wrapText="1"/>
    </xf>
    <xf numFmtId="0" fontId="37" fillId="0" borderId="18" xfId="73" applyFont="1" applyFill="1" applyBorder="1" applyAlignment="1">
      <alignment horizontal="center" vertical="center" wrapText="1"/>
    </xf>
    <xf numFmtId="49" fontId="37" fillId="0" borderId="17" xfId="73" applyNumberFormat="1" applyFont="1" applyFill="1" applyBorder="1" applyAlignment="1">
      <alignment horizontal="center" vertical="center" wrapText="1"/>
    </xf>
    <xf numFmtId="4" fontId="1" fillId="0" borderId="0" xfId="73" applyNumberFormat="1" applyFont="1" applyFill="1" applyBorder="1" applyAlignment="1">
      <alignment vertical="center"/>
    </xf>
    <xf numFmtId="4" fontId="1" fillId="0" borderId="16" xfId="73" applyNumberFormat="1" applyFont="1" applyFill="1" applyBorder="1" applyAlignment="1">
      <alignment vertical="center"/>
    </xf>
    <xf numFmtId="4" fontId="1" fillId="0" borderId="17" xfId="73" applyNumberFormat="1" applyFont="1" applyFill="1" applyBorder="1" applyAlignment="1">
      <alignment vertical="center"/>
    </xf>
    <xf numFmtId="0" fontId="34" fillId="0" borderId="16" xfId="73" applyFont="1" applyFill="1" applyBorder="1" applyAlignment="1">
      <alignment horizontal="left" vertical="center" wrapText="1"/>
    </xf>
    <xf numFmtId="49" fontId="1" fillId="0" borderId="16" xfId="73" applyNumberFormat="1" applyFont="1" applyFill="1" applyBorder="1" applyAlignment="1">
      <alignment horizontal="center" vertical="center" wrapText="1"/>
    </xf>
    <xf numFmtId="49" fontId="1" fillId="0" borderId="0" xfId="73" applyNumberFormat="1" applyFont="1" applyFill="1" applyBorder="1" applyAlignment="1">
      <alignment horizontal="center" vertical="center" wrapText="1"/>
    </xf>
    <xf numFmtId="49" fontId="1" fillId="0" borderId="18" xfId="73" applyNumberFormat="1" applyFont="1" applyFill="1" applyBorder="1" applyAlignment="1">
      <alignment horizontal="center" vertical="center" wrapText="1"/>
    </xf>
    <xf numFmtId="49" fontId="1" fillId="0" borderId="17" xfId="73" applyNumberFormat="1" applyFont="1" applyFill="1" applyBorder="1" applyAlignment="1">
      <alignment horizontal="center" vertical="center" wrapText="1"/>
    </xf>
    <xf numFmtId="4" fontId="1" fillId="0" borderId="18" xfId="73" applyNumberFormat="1" applyFont="1" applyFill="1" applyBorder="1" applyAlignment="1">
      <alignment vertical="center"/>
    </xf>
    <xf numFmtId="49" fontId="37" fillId="0" borderId="33" xfId="73" applyNumberFormat="1" applyFont="1" applyFill="1" applyBorder="1" applyAlignment="1">
      <alignment horizontal="center" vertical="center" wrapText="1"/>
    </xf>
    <xf numFmtId="0" fontId="1" fillId="0" borderId="16" xfId="73" applyNumberFormat="1" applyFont="1" applyFill="1" applyBorder="1" applyAlignment="1">
      <alignment horizontal="left" vertical="center" wrapText="1"/>
    </xf>
    <xf numFmtId="0" fontId="1" fillId="0" borderId="0" xfId="73" applyFont="1" applyFill="1"/>
    <xf numFmtId="0" fontId="3" fillId="0" borderId="16" xfId="0" applyFont="1" applyFill="1" applyBorder="1" applyAlignment="1">
      <alignment wrapText="1"/>
    </xf>
    <xf numFmtId="49" fontId="5" fillId="0" borderId="17" xfId="73" applyNumberFormat="1" applyFont="1" applyFill="1" applyBorder="1" applyAlignment="1">
      <alignment horizontal="center" vertical="center"/>
    </xf>
    <xf numFmtId="4" fontId="3" fillId="0" borderId="16" xfId="73" applyNumberFormat="1" applyFont="1" applyFill="1" applyBorder="1" applyAlignment="1">
      <alignment vertical="center"/>
    </xf>
    <xf numFmtId="4" fontId="3" fillId="0" borderId="17" xfId="73" applyNumberFormat="1" applyFont="1" applyFill="1" applyBorder="1" applyAlignment="1">
      <alignment vertical="center"/>
    </xf>
    <xf numFmtId="4" fontId="3" fillId="0" borderId="18" xfId="73" applyNumberFormat="1" applyFont="1" applyFill="1" applyBorder="1" applyAlignment="1">
      <alignment vertical="center"/>
    </xf>
    <xf numFmtId="0" fontId="3" fillId="0" borderId="16" xfId="73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/>
    </xf>
    <xf numFmtId="49" fontId="3" fillId="0" borderId="17" xfId="73" applyNumberFormat="1" applyFont="1" applyFill="1" applyBorder="1" applyAlignment="1">
      <alignment horizontal="center" vertical="center"/>
    </xf>
    <xf numFmtId="4" fontId="3" fillId="0" borderId="16" xfId="73" applyNumberFormat="1" applyFont="1" applyFill="1" applyBorder="1" applyAlignment="1">
      <alignment horizontal="right" vertical="distributed"/>
    </xf>
    <xf numFmtId="4" fontId="3" fillId="0" borderId="17" xfId="73" applyNumberFormat="1" applyFont="1" applyFill="1" applyBorder="1" applyAlignment="1">
      <alignment horizontal="right" vertical="distributed"/>
    </xf>
    <xf numFmtId="4" fontId="3" fillId="0" borderId="18" xfId="73" applyNumberFormat="1" applyFont="1" applyFill="1" applyBorder="1" applyAlignment="1">
      <alignment horizontal="right" vertical="distributed"/>
    </xf>
    <xf numFmtId="49" fontId="3" fillId="0" borderId="16" xfId="73" applyNumberFormat="1" applyFont="1" applyFill="1" applyBorder="1" applyAlignment="1">
      <alignment horizontal="center" vertical="center" wrapText="1"/>
    </xf>
    <xf numFmtId="49" fontId="3" fillId="0" borderId="17" xfId="7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distributed"/>
    </xf>
    <xf numFmtId="4" fontId="3" fillId="0" borderId="17" xfId="0" applyNumberFormat="1" applyFont="1" applyFill="1" applyBorder="1" applyAlignment="1">
      <alignment horizontal="right" vertical="distributed"/>
    </xf>
    <xf numFmtId="4" fontId="3" fillId="0" borderId="18" xfId="0" applyNumberFormat="1" applyFont="1" applyFill="1" applyBorder="1" applyAlignment="1">
      <alignment horizontal="right" vertical="distributed"/>
    </xf>
    <xf numFmtId="0" fontId="3" fillId="0" borderId="16" xfId="73" applyNumberFormat="1" applyFont="1" applyFill="1" applyBorder="1" applyAlignment="1">
      <alignment horizontal="left" vertical="center" wrapText="1"/>
    </xf>
    <xf numFmtId="49" fontId="1" fillId="0" borderId="0" xfId="73" applyNumberFormat="1" applyFont="1" applyFill="1" applyBorder="1" applyAlignment="1">
      <alignment horizontal="center" vertical="center"/>
    </xf>
    <xf numFmtId="49" fontId="1" fillId="0" borderId="18" xfId="73" applyNumberFormat="1" applyFont="1" applyFill="1" applyBorder="1" applyAlignment="1">
      <alignment horizontal="center" vertical="distributed"/>
    </xf>
    <xf numFmtId="49" fontId="1" fillId="0" borderId="0" xfId="73" applyNumberFormat="1" applyFont="1" applyFill="1" applyBorder="1" applyAlignment="1">
      <alignment horizontal="center" vertical="distributed" wrapText="1"/>
    </xf>
    <xf numFmtId="49" fontId="1" fillId="0" borderId="0" xfId="73" applyNumberFormat="1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9" fontId="1" fillId="0" borderId="26" xfId="73" applyNumberFormat="1" applyFont="1" applyFill="1" applyBorder="1" applyAlignment="1">
      <alignment horizontal="center" vertical="distributed"/>
    </xf>
    <xf numFmtId="49" fontId="1" fillId="0" borderId="27" xfId="73" applyNumberFormat="1" applyFont="1" applyFill="1" applyBorder="1" applyAlignment="1">
      <alignment horizontal="center" vertical="distributed"/>
    </xf>
    <xf numFmtId="49" fontId="1" fillId="0" borderId="25" xfId="73" applyNumberFormat="1" applyFont="1" applyFill="1" applyBorder="1" applyAlignment="1">
      <alignment horizontal="center" vertical="distributed"/>
    </xf>
    <xf numFmtId="49" fontId="3" fillId="0" borderId="24" xfId="73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Fill="1" applyBorder="1" applyAlignment="1">
      <alignment horizontal="right" vertical="distributed"/>
    </xf>
    <xf numFmtId="4" fontId="5" fillId="0" borderId="18" xfId="0" applyNumberFormat="1" applyFont="1" applyFill="1" applyBorder="1" applyAlignment="1">
      <alignment horizontal="right" vertical="distributed"/>
    </xf>
    <xf numFmtId="0" fontId="34" fillId="0" borderId="16" xfId="73" applyNumberFormat="1" applyFont="1" applyFill="1" applyBorder="1" applyAlignment="1">
      <alignment horizontal="left" vertical="center" wrapText="1"/>
    </xf>
    <xf numFmtId="49" fontId="1" fillId="0" borderId="26" xfId="73" applyNumberFormat="1" applyFont="1" applyFill="1" applyBorder="1" applyAlignment="1">
      <alignment horizontal="center" vertical="center" wrapText="1"/>
    </xf>
    <xf numFmtId="49" fontId="1" fillId="0" borderId="27" xfId="73" applyNumberFormat="1" applyFont="1" applyFill="1" applyBorder="1" applyAlignment="1">
      <alignment horizontal="center" vertical="center" wrapText="1"/>
    </xf>
    <xf numFmtId="49" fontId="1" fillId="0" borderId="27" xfId="73" applyNumberFormat="1" applyFont="1" applyFill="1" applyBorder="1" applyAlignment="1">
      <alignment horizontal="center" vertical="center"/>
    </xf>
    <xf numFmtId="4" fontId="1" fillId="0" borderId="27" xfId="73" applyNumberFormat="1" applyFont="1" applyFill="1" applyBorder="1" applyAlignment="1">
      <alignment vertical="center"/>
    </xf>
    <xf numFmtId="4" fontId="1" fillId="0" borderId="26" xfId="73" applyNumberFormat="1" applyFont="1" applyFill="1" applyBorder="1" applyAlignment="1">
      <alignment vertical="center"/>
    </xf>
    <xf numFmtId="4" fontId="1" fillId="0" borderId="24" xfId="73" applyNumberFormat="1" applyFont="1" applyFill="1" applyBorder="1" applyAlignment="1">
      <alignment vertical="center"/>
    </xf>
    <xf numFmtId="4" fontId="1" fillId="0" borderId="25" xfId="73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distributed"/>
    </xf>
    <xf numFmtId="49" fontId="5" fillId="0" borderId="22" xfId="0" applyNumberFormat="1" applyFont="1" applyFill="1" applyBorder="1" applyAlignment="1">
      <alignment horizontal="center" vertical="distributed"/>
    </xf>
    <xf numFmtId="49" fontId="5" fillId="0" borderId="20" xfId="0" applyNumberFormat="1" applyFont="1" applyFill="1" applyBorder="1" applyAlignment="1">
      <alignment horizontal="center" vertical="center"/>
    </xf>
    <xf numFmtId="4" fontId="3" fillId="0" borderId="19" xfId="73" applyNumberFormat="1" applyFont="1" applyFill="1" applyBorder="1" applyAlignment="1">
      <alignment vertical="center"/>
    </xf>
    <xf numFmtId="4" fontId="3" fillId="0" borderId="20" xfId="73" applyNumberFormat="1" applyFont="1" applyFill="1" applyBorder="1" applyAlignment="1">
      <alignment vertical="center"/>
    </xf>
    <xf numFmtId="4" fontId="3" fillId="0" borderId="22" xfId="73" applyNumberFormat="1" applyFont="1" applyFill="1" applyBorder="1" applyAlignment="1">
      <alignment vertical="center"/>
    </xf>
    <xf numFmtId="0" fontId="3" fillId="0" borderId="26" xfId="73" applyFont="1" applyFill="1" applyBorder="1" applyAlignment="1">
      <alignment horizontal="left" vertical="center" wrapText="1"/>
    </xf>
    <xf numFmtId="49" fontId="2" fillId="0" borderId="26" xfId="73" applyNumberFormat="1" applyFont="1" applyFill="1" applyBorder="1" applyAlignment="1">
      <alignment horizontal="center" vertical="center"/>
    </xf>
    <xf numFmtId="49" fontId="2" fillId="0" borderId="27" xfId="73" applyNumberFormat="1" applyFont="1" applyFill="1" applyBorder="1" applyAlignment="1">
      <alignment horizontal="center" vertical="center"/>
    </xf>
    <xf numFmtId="49" fontId="5" fillId="0" borderId="27" xfId="73" applyNumberFormat="1" applyFont="1" applyFill="1" applyBorder="1" applyAlignment="1">
      <alignment horizontal="center" vertical="center"/>
    </xf>
    <xf numFmtId="49" fontId="5" fillId="0" borderId="25" xfId="73" applyNumberFormat="1" applyFont="1" applyFill="1" applyBorder="1" applyAlignment="1">
      <alignment horizontal="center" vertical="center"/>
    </xf>
    <xf numFmtId="49" fontId="5" fillId="0" borderId="24" xfId="73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0" fontId="2" fillId="0" borderId="16" xfId="75" applyFont="1" applyFill="1" applyBorder="1" applyAlignment="1">
      <alignment vertical="top" wrapText="1"/>
    </xf>
    <xf numFmtId="49" fontId="1" fillId="0" borderId="0" xfId="73" applyNumberFormat="1" applyFont="1" applyFill="1" applyAlignment="1">
      <alignment horizontal="center" vertical="center"/>
    </xf>
    <xf numFmtId="49" fontId="1" fillId="0" borderId="24" xfId="73" applyNumberFormat="1" applyFont="1" applyFill="1" applyBorder="1"/>
    <xf numFmtId="0" fontId="3" fillId="0" borderId="19" xfId="73" applyFont="1" applyFill="1" applyBorder="1" applyAlignment="1">
      <alignment horizontal="left" vertical="center" wrapText="1"/>
    </xf>
    <xf numFmtId="0" fontId="3" fillId="0" borderId="21" xfId="73" applyFont="1" applyFill="1" applyBorder="1" applyAlignment="1">
      <alignment horizontal="center" vertical="distributed"/>
    </xf>
    <xf numFmtId="49" fontId="5" fillId="0" borderId="20" xfId="73" applyNumberFormat="1" applyFont="1" applyFill="1" applyBorder="1" applyAlignment="1">
      <alignment horizontal="center" vertical="center"/>
    </xf>
    <xf numFmtId="4" fontId="3" fillId="0" borderId="21" xfId="73" applyNumberFormat="1" applyFont="1" applyFill="1" applyBorder="1" applyAlignment="1"/>
    <xf numFmtId="4" fontId="3" fillId="0" borderId="19" xfId="73" applyNumberFormat="1" applyFont="1" applyFill="1" applyBorder="1" applyAlignment="1"/>
    <xf numFmtId="4" fontId="3" fillId="0" borderId="20" xfId="73" applyNumberFormat="1" applyFont="1" applyFill="1" applyBorder="1" applyAlignment="1"/>
    <xf numFmtId="0" fontId="3" fillId="0" borderId="16" xfId="73" applyFont="1" applyFill="1" applyBorder="1" applyAlignment="1">
      <alignment horizontal="left" vertical="distributed" wrapText="1"/>
    </xf>
    <xf numFmtId="49" fontId="3" fillId="0" borderId="21" xfId="73" applyNumberFormat="1" applyFont="1" applyFill="1" applyBorder="1" applyAlignment="1">
      <alignment horizontal="center" vertical="distributed" wrapText="1"/>
    </xf>
    <xf numFmtId="4" fontId="3" fillId="0" borderId="21" xfId="73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distributed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73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9" fontId="5" fillId="0" borderId="22" xfId="73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33" xfId="73" applyNumberFormat="1" applyFont="1" applyFill="1" applyBorder="1" applyAlignment="1">
      <alignment horizontal="center" vertical="center"/>
    </xf>
    <xf numFmtId="49" fontId="1" fillId="0" borderId="16" xfId="73" applyNumberFormat="1" applyFont="1" applyFill="1" applyBorder="1" applyAlignment="1">
      <alignment horizontal="center" vertical="center"/>
    </xf>
    <xf numFmtId="49" fontId="1" fillId="0" borderId="17" xfId="73" applyNumberFormat="1" applyFont="1" applyFill="1" applyBorder="1" applyAlignment="1">
      <alignment horizontal="center" vertical="center"/>
    </xf>
    <xf numFmtId="49" fontId="3" fillId="0" borderId="33" xfId="73" applyNumberFormat="1" applyFont="1" applyFill="1" applyBorder="1" applyAlignment="1">
      <alignment horizontal="center" vertical="center"/>
    </xf>
    <xf numFmtId="49" fontId="3" fillId="0" borderId="19" xfId="73" applyNumberFormat="1" applyFont="1" applyFill="1" applyBorder="1" applyAlignment="1">
      <alignment horizontal="center" vertical="center"/>
    </xf>
    <xf numFmtId="49" fontId="3" fillId="0" borderId="22" xfId="73" applyNumberFormat="1" applyFont="1" applyFill="1" applyBorder="1" applyAlignment="1">
      <alignment horizontal="center" vertical="center"/>
    </xf>
    <xf numFmtId="49" fontId="3" fillId="0" borderId="20" xfId="73" applyNumberFormat="1" applyFont="1" applyFill="1" applyBorder="1" applyAlignment="1">
      <alignment horizontal="center" vertical="center"/>
    </xf>
    <xf numFmtId="49" fontId="1" fillId="0" borderId="26" xfId="73" applyNumberFormat="1" applyFont="1" applyFill="1" applyBorder="1" applyAlignment="1">
      <alignment horizontal="center" vertical="center"/>
    </xf>
    <xf numFmtId="49" fontId="3" fillId="0" borderId="18" xfId="73" applyNumberFormat="1" applyFont="1" applyFill="1" applyBorder="1" applyAlignment="1">
      <alignment horizontal="center" vertical="center"/>
    </xf>
    <xf numFmtId="4" fontId="3" fillId="0" borderId="27" xfId="73" applyNumberFormat="1" applyFont="1" applyFill="1" applyBorder="1" applyAlignment="1">
      <alignment vertical="center"/>
    </xf>
    <xf numFmtId="4" fontId="3" fillId="0" borderId="26" xfId="73" applyNumberFormat="1" applyFont="1" applyFill="1" applyBorder="1" applyAlignment="1">
      <alignment vertical="center"/>
    </xf>
    <xf numFmtId="4" fontId="3" fillId="0" borderId="24" xfId="73" applyNumberFormat="1" applyFont="1" applyFill="1" applyBorder="1" applyAlignment="1">
      <alignment vertical="center"/>
    </xf>
    <xf numFmtId="4" fontId="3" fillId="0" borderId="25" xfId="73" applyNumberFormat="1" applyFont="1" applyFill="1" applyBorder="1" applyAlignment="1">
      <alignment vertical="center"/>
    </xf>
    <xf numFmtId="49" fontId="2" fillId="0" borderId="16" xfId="73" applyNumberFormat="1" applyFont="1" applyFill="1" applyBorder="1" applyAlignment="1">
      <alignment horizontal="center" vertical="center"/>
    </xf>
    <xf numFmtId="49" fontId="2" fillId="0" borderId="19" xfId="73" applyNumberFormat="1" applyFont="1" applyFill="1" applyBorder="1" applyAlignment="1">
      <alignment horizontal="center" vertical="center"/>
    </xf>
    <xf numFmtId="49" fontId="2" fillId="0" borderId="21" xfId="73" applyNumberFormat="1" applyFont="1" applyFill="1" applyBorder="1" applyAlignment="1">
      <alignment horizontal="center" vertical="center"/>
    </xf>
    <xf numFmtId="49" fontId="3" fillId="0" borderId="26" xfId="73" applyNumberFormat="1" applyFont="1" applyFill="1" applyBorder="1" applyAlignment="1">
      <alignment horizontal="center" vertical="center"/>
    </xf>
    <xf numFmtId="49" fontId="3" fillId="0" borderId="27" xfId="73" applyNumberFormat="1" applyFont="1" applyFill="1" applyBorder="1" applyAlignment="1">
      <alignment horizontal="center" vertical="center"/>
    </xf>
    <xf numFmtId="49" fontId="3" fillId="0" borderId="25" xfId="73" applyNumberFormat="1" applyFont="1" applyFill="1" applyBorder="1" applyAlignment="1">
      <alignment horizontal="center" vertical="center"/>
    </xf>
    <xf numFmtId="49" fontId="3" fillId="0" borderId="25" xfId="73" applyNumberFormat="1" applyFont="1" applyFill="1" applyBorder="1" applyAlignment="1">
      <alignment horizontal="center" vertical="distributed"/>
    </xf>
    <xf numFmtId="49" fontId="7" fillId="0" borderId="16" xfId="73" applyNumberFormat="1" applyFont="1" applyFill="1" applyBorder="1" applyAlignment="1">
      <alignment horizontal="center" vertical="center"/>
    </xf>
    <xf numFmtId="49" fontId="7" fillId="0" borderId="0" xfId="73" applyNumberFormat="1" applyFont="1" applyFill="1" applyBorder="1" applyAlignment="1">
      <alignment horizontal="center" vertical="center"/>
    </xf>
    <xf numFmtId="49" fontId="6" fillId="0" borderId="0" xfId="73" applyNumberFormat="1" applyFont="1" applyFill="1" applyBorder="1" applyAlignment="1">
      <alignment horizontal="center" vertical="center"/>
    </xf>
    <xf numFmtId="49" fontId="6" fillId="0" borderId="17" xfId="73" applyNumberFormat="1" applyFont="1" applyFill="1" applyBorder="1" applyAlignment="1">
      <alignment horizontal="center" vertical="center"/>
    </xf>
    <xf numFmtId="0" fontId="3" fillId="0" borderId="16" xfId="73" applyFont="1" applyFill="1" applyBorder="1" applyAlignment="1">
      <alignment wrapText="1"/>
    </xf>
    <xf numFmtId="4" fontId="3" fillId="0" borderId="19" xfId="73" applyNumberFormat="1" applyFont="1" applyFill="1" applyBorder="1" applyAlignment="1">
      <alignment horizontal="right" vertical="distributed"/>
    </xf>
    <xf numFmtId="4" fontId="3" fillId="0" borderId="20" xfId="73" applyNumberFormat="1" applyFont="1" applyFill="1" applyBorder="1" applyAlignment="1">
      <alignment horizontal="right" vertical="distributed"/>
    </xf>
    <xf numFmtId="4" fontId="3" fillId="0" borderId="22" xfId="73" applyNumberFormat="1" applyFont="1" applyFill="1" applyBorder="1" applyAlignment="1">
      <alignment horizontal="right" vertical="distributed"/>
    </xf>
    <xf numFmtId="0" fontId="3" fillId="0" borderId="26" xfId="0" applyFont="1" applyFill="1" applyBorder="1" applyAlignment="1">
      <alignment horizontal="left" vertical="center" wrapText="1"/>
    </xf>
    <xf numFmtId="0" fontId="1" fillId="0" borderId="16" xfId="73" applyFont="1" applyFill="1" applyBorder="1" applyAlignment="1">
      <alignment horizontal="left" vertical="center" wrapText="1"/>
    </xf>
    <xf numFmtId="49" fontId="1" fillId="0" borderId="25" xfId="73" applyNumberFormat="1" applyFont="1" applyFill="1" applyBorder="1" applyAlignment="1">
      <alignment vertical="center"/>
    </xf>
    <xf numFmtId="49" fontId="1" fillId="0" borderId="18" xfId="73" applyNumberFormat="1" applyFont="1" applyFill="1" applyBorder="1" applyAlignment="1">
      <alignment horizontal="center" vertical="center"/>
    </xf>
    <xf numFmtId="49" fontId="1" fillId="0" borderId="26" xfId="73" applyNumberFormat="1" applyFont="1" applyFill="1" applyBorder="1" applyAlignment="1">
      <alignment horizontal="center" vertical="distributed" wrapText="1"/>
    </xf>
    <xf numFmtId="49" fontId="1" fillId="0" borderId="27" xfId="73" applyNumberFormat="1" applyFont="1" applyFill="1" applyBorder="1" applyAlignment="1">
      <alignment horizontal="center" vertical="distributed" wrapText="1"/>
    </xf>
    <xf numFmtId="49" fontId="6" fillId="0" borderId="24" xfId="0" applyNumberFormat="1" applyFont="1" applyFill="1" applyBorder="1" applyAlignment="1">
      <alignment horizontal="center" vertical="center"/>
    </xf>
    <xf numFmtId="49" fontId="3" fillId="0" borderId="26" xfId="73" applyNumberFormat="1" applyFont="1" applyFill="1" applyBorder="1" applyAlignment="1">
      <alignment horizontal="center" vertical="distributed"/>
    </xf>
    <xf numFmtId="49" fontId="2" fillId="0" borderId="27" xfId="73" applyNumberFormat="1" applyFont="1" applyFill="1" applyBorder="1" applyAlignment="1">
      <alignment horizontal="center" vertical="distributed"/>
    </xf>
    <xf numFmtId="49" fontId="5" fillId="0" borderId="27" xfId="73" applyNumberFormat="1" applyFont="1" applyFill="1" applyBorder="1" applyAlignment="1">
      <alignment horizontal="center" vertical="distributed"/>
    </xf>
    <xf numFmtId="49" fontId="5" fillId="0" borderId="25" xfId="73" applyNumberFormat="1" applyFont="1" applyFill="1" applyBorder="1" applyAlignment="1">
      <alignment horizontal="center" vertical="distributed"/>
    </xf>
    <xf numFmtId="49" fontId="1" fillId="0" borderId="24" xfId="73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49" fontId="2" fillId="0" borderId="26" xfId="73" applyNumberFormat="1" applyFont="1" applyFill="1" applyBorder="1" applyAlignment="1">
      <alignment horizontal="center" vertical="distributed"/>
    </xf>
    <xf numFmtId="4" fontId="33" fillId="0" borderId="17" xfId="73" applyNumberFormat="1" applyFont="1" applyFill="1" applyBorder="1" applyAlignment="1">
      <alignment horizontal="right" vertical="distributed"/>
    </xf>
    <xf numFmtId="0" fontId="34" fillId="0" borderId="26" xfId="73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distributed"/>
    </xf>
    <xf numFmtId="4" fontId="2" fillId="0" borderId="20" xfId="0" applyNumberFormat="1" applyFont="1" applyFill="1" applyBorder="1" applyAlignment="1">
      <alignment horizontal="right" vertical="distributed"/>
    </xf>
    <xf numFmtId="49" fontId="3" fillId="0" borderId="26" xfId="0" applyNumberFormat="1" applyFont="1" applyFill="1" applyBorder="1" applyAlignment="1">
      <alignment horizontal="center" vertical="distributed"/>
    </xf>
    <xf numFmtId="49" fontId="3" fillId="0" borderId="27" xfId="0" applyNumberFormat="1" applyFont="1" applyFill="1" applyBorder="1" applyAlignment="1">
      <alignment horizontal="center" vertical="distributed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34" fillId="0" borderId="28" xfId="73" applyFont="1" applyFill="1" applyBorder="1" applyAlignment="1">
      <alignment horizontal="left" vertical="center" wrapText="1"/>
    </xf>
    <xf numFmtId="4" fontId="1" fillId="0" borderId="28" xfId="73" applyNumberFormat="1" applyFont="1" applyFill="1" applyBorder="1" applyAlignment="1">
      <alignment vertical="center"/>
    </xf>
    <xf numFmtId="4" fontId="1" fillId="0" borderId="29" xfId="73" applyNumberFormat="1" applyFont="1" applyFill="1" applyBorder="1" applyAlignment="1">
      <alignment vertical="center"/>
    </xf>
    <xf numFmtId="4" fontId="1" fillId="0" borderId="30" xfId="73" applyNumberFormat="1" applyFont="1" applyFill="1" applyBorder="1" applyAlignment="1">
      <alignment vertical="center"/>
    </xf>
    <xf numFmtId="49" fontId="3" fillId="0" borderId="0" xfId="73" applyNumberFormat="1" applyFont="1" applyFill="1"/>
    <xf numFmtId="167" fontId="3" fillId="0" borderId="0" xfId="73" applyNumberFormat="1" applyFont="1" applyFill="1"/>
    <xf numFmtId="4" fontId="3" fillId="0" borderId="0" xfId="73" applyNumberFormat="1" applyFont="1" applyFill="1"/>
    <xf numFmtId="49" fontId="3" fillId="0" borderId="0" xfId="73" applyNumberFormat="1" applyFont="1" applyFill="1" applyBorder="1"/>
    <xf numFmtId="0" fontId="3" fillId="0" borderId="0" xfId="73" applyFont="1" applyFill="1" applyBorder="1"/>
    <xf numFmtId="0" fontId="3" fillId="0" borderId="17" xfId="73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7" fillId="0" borderId="26" xfId="73" applyNumberFormat="1" applyFont="1" applyFill="1" applyBorder="1" applyAlignment="1">
      <alignment horizontal="center" vertical="distributed"/>
    </xf>
    <xf numFmtId="49" fontId="7" fillId="0" borderId="27" xfId="73" applyNumberFormat="1" applyFont="1" applyFill="1" applyBorder="1" applyAlignment="1">
      <alignment horizontal="center" vertical="distributed"/>
    </xf>
    <xf numFmtId="4" fontId="5" fillId="0" borderId="20" xfId="0" applyNumberFormat="1" applyFont="1" applyFill="1" applyBorder="1" applyAlignment="1">
      <alignment horizontal="right" vertical="distributed"/>
    </xf>
    <xf numFmtId="4" fontId="5" fillId="0" borderId="22" xfId="0" applyNumberFormat="1" applyFont="1" applyFill="1" applyBorder="1" applyAlignment="1">
      <alignment horizontal="right" vertical="distributed"/>
    </xf>
    <xf numFmtId="49" fontId="6" fillId="0" borderId="27" xfId="73" applyNumberFormat="1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justify"/>
    </xf>
    <xf numFmtId="49" fontId="5" fillId="0" borderId="18" xfId="73" applyNumberFormat="1" applyFont="1" applyFill="1" applyBorder="1" applyAlignment="1">
      <alignment horizontal="center" vertical="center"/>
    </xf>
    <xf numFmtId="4" fontId="1" fillId="0" borderId="17" xfId="73" applyNumberFormat="1" applyFont="1" applyFill="1" applyBorder="1" applyAlignment="1">
      <alignment horizontal="right" vertical="distributed"/>
    </xf>
    <xf numFmtId="0" fontId="3" fillId="0" borderId="24" xfId="73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" fontId="1" fillId="0" borderId="24" xfId="73" applyNumberFormat="1" applyFont="1" applyFill="1" applyBorder="1" applyAlignment="1">
      <alignment horizontal="right" vertical="center"/>
    </xf>
    <xf numFmtId="4" fontId="1" fillId="0" borderId="0" xfId="73" applyNumberFormat="1" applyFont="1" applyFill="1" applyBorder="1" applyAlignment="1">
      <alignment horizontal="right" vertical="distributed"/>
    </xf>
    <xf numFmtId="4" fontId="1" fillId="0" borderId="15" xfId="73" applyNumberFormat="1" applyFont="1" applyFill="1" applyBorder="1" applyAlignment="1">
      <alignment horizontal="right" vertical="distributed"/>
    </xf>
    <xf numFmtId="49" fontId="1" fillId="0" borderId="26" xfId="0" applyNumberFormat="1" applyFont="1" applyFill="1" applyBorder="1" applyAlignment="1">
      <alignment horizontal="center" vertical="distributed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18" xfId="73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distributed"/>
    </xf>
    <xf numFmtId="0" fontId="3" fillId="0" borderId="20" xfId="73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distributed"/>
    </xf>
    <xf numFmtId="0" fontId="34" fillId="0" borderId="24" xfId="0" applyFont="1" applyFill="1" applyBorder="1" applyAlignment="1">
      <alignment horizontal="left" vertical="center" wrapText="1"/>
    </xf>
    <xf numFmtId="4" fontId="1" fillId="0" borderId="20" xfId="73" applyNumberFormat="1" applyFont="1" applyFill="1" applyBorder="1" applyAlignment="1">
      <alignment vertical="center"/>
    </xf>
    <xf numFmtId="4" fontId="1" fillId="0" borderId="22" xfId="73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distributed"/>
    </xf>
    <xf numFmtId="0" fontId="3" fillId="0" borderId="17" xfId="73" applyNumberFormat="1" applyFont="1" applyFill="1" applyBorder="1" applyAlignment="1">
      <alignment horizontal="left" vertical="center" wrapText="1"/>
    </xf>
    <xf numFmtId="0" fontId="1" fillId="0" borderId="17" xfId="73" applyNumberFormat="1" applyFont="1" applyFill="1" applyBorder="1" applyAlignment="1">
      <alignment horizontal="left" vertical="center" wrapText="1"/>
    </xf>
    <xf numFmtId="0" fontId="34" fillId="0" borderId="26" xfId="73" applyNumberFormat="1" applyFont="1" applyFill="1" applyBorder="1" applyAlignment="1">
      <alignment horizontal="left" vertical="center" wrapText="1"/>
    </xf>
    <xf numFmtId="0" fontId="34" fillId="0" borderId="26" xfId="73" applyFont="1" applyFill="1" applyBorder="1" applyAlignment="1">
      <alignment wrapText="1"/>
    </xf>
    <xf numFmtId="0" fontId="34" fillId="0" borderId="17" xfId="73" applyFont="1" applyFill="1" applyBorder="1" applyAlignment="1">
      <alignment horizontal="left" vertical="center" wrapText="1"/>
    </xf>
    <xf numFmtId="0" fontId="2" fillId="0" borderId="17" xfId="75" applyFont="1" applyFill="1" applyBorder="1" applyAlignment="1">
      <alignment vertical="top" wrapText="1"/>
    </xf>
    <xf numFmtId="0" fontId="34" fillId="0" borderId="16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vertical="distributed"/>
    </xf>
    <xf numFmtId="165" fontId="3" fillId="0" borderId="0" xfId="73" applyNumberFormat="1" applyFont="1" applyFill="1"/>
    <xf numFmtId="0" fontId="34" fillId="0" borderId="17" xfId="0" applyFont="1" applyFill="1" applyBorder="1" applyAlignment="1">
      <alignment horizontal="left" vertical="center" wrapText="1"/>
    </xf>
    <xf numFmtId="0" fontId="34" fillId="0" borderId="17" xfId="73" applyNumberFormat="1" applyFont="1" applyFill="1" applyBorder="1" applyAlignment="1">
      <alignment horizontal="left" vertical="center" wrapText="1"/>
    </xf>
    <xf numFmtId="4" fontId="3" fillId="0" borderId="34" xfId="73" applyNumberFormat="1" applyFont="1" applyFill="1" applyBorder="1" applyAlignment="1">
      <alignment horizontal="right" vertical="distributed"/>
    </xf>
    <xf numFmtId="4" fontId="3" fillId="0" borderId="14" xfId="73" applyNumberFormat="1" applyFont="1" applyFill="1" applyBorder="1" applyAlignment="1">
      <alignment horizontal="right" vertical="distributed"/>
    </xf>
    <xf numFmtId="0" fontId="34" fillId="0" borderId="24" xfId="73" applyFont="1" applyFill="1" applyBorder="1" applyAlignment="1">
      <alignment horizontal="left" vertical="center" wrapText="1"/>
    </xf>
    <xf numFmtId="0" fontId="3" fillId="0" borderId="17" xfId="73" applyFont="1" applyFill="1" applyBorder="1" applyAlignment="1">
      <alignment horizontal="left" vertical="distributed" wrapText="1"/>
    </xf>
    <xf numFmtId="49" fontId="8" fillId="0" borderId="28" xfId="73" applyNumberFormat="1" applyFont="1" applyFill="1" applyBorder="1" applyAlignment="1">
      <alignment horizontal="center" vertical="center" wrapText="1"/>
    </xf>
    <xf numFmtId="49" fontId="3" fillId="0" borderId="26" xfId="73" applyNumberFormat="1" applyFont="1" applyFill="1" applyBorder="1" applyAlignment="1">
      <alignment horizontal="center" vertical="center" wrapText="1"/>
    </xf>
    <xf numFmtId="49" fontId="3" fillId="0" borderId="27" xfId="73" applyNumberFormat="1" applyFont="1" applyFill="1" applyBorder="1" applyAlignment="1">
      <alignment horizontal="center" vertical="center" wrapText="1"/>
    </xf>
    <xf numFmtId="49" fontId="3" fillId="0" borderId="25" xfId="73" applyNumberFormat="1" applyFont="1" applyFill="1" applyBorder="1" applyAlignment="1">
      <alignment horizontal="center" vertical="center" wrapText="1"/>
    </xf>
    <xf numFmtId="0" fontId="3" fillId="0" borderId="29" xfId="73" applyFont="1" applyFill="1" applyBorder="1" applyAlignment="1">
      <alignment horizontal="center" vertical="center" wrapText="1"/>
    </xf>
    <xf numFmtId="0" fontId="39" fillId="0" borderId="0" xfId="73" applyFont="1" applyFill="1"/>
    <xf numFmtId="4" fontId="39" fillId="0" borderId="0" xfId="0" applyNumberFormat="1" applyFont="1" applyBorder="1"/>
    <xf numFmtId="4" fontId="39" fillId="0" borderId="0" xfId="73" applyNumberFormat="1" applyFont="1" applyFill="1"/>
    <xf numFmtId="0" fontId="39" fillId="0" borderId="0" xfId="73" applyFont="1" applyFill="1" applyBorder="1"/>
    <xf numFmtId="166" fontId="5" fillId="0" borderId="20" xfId="0" applyNumberFormat="1" applyFont="1" applyFill="1" applyBorder="1" applyAlignment="1">
      <alignment horizontal="right" vertical="distributed"/>
    </xf>
    <xf numFmtId="4" fontId="5" fillId="0" borderId="34" xfId="0" applyNumberFormat="1" applyFont="1" applyFill="1" applyBorder="1" applyAlignment="1">
      <alignment horizontal="right" vertical="distributed"/>
    </xf>
    <xf numFmtId="4" fontId="3" fillId="0" borderId="20" xfId="0" applyNumberFormat="1" applyFont="1" applyFill="1" applyBorder="1" applyAlignment="1">
      <alignment horizontal="right" vertical="distributed"/>
    </xf>
    <xf numFmtId="0" fontId="31" fillId="22" borderId="0" xfId="0" applyFont="1" applyFill="1" applyBorder="1" applyAlignment="1">
      <alignment horizontal="center" wrapText="1"/>
    </xf>
    <xf numFmtId="0" fontId="31" fillId="22" borderId="0" xfId="0" applyFont="1" applyFill="1" applyAlignment="1">
      <alignment horizontal="center"/>
    </xf>
    <xf numFmtId="49" fontId="32" fillId="0" borderId="29" xfId="73" applyNumberFormat="1" applyFont="1" applyFill="1" applyBorder="1" applyAlignment="1">
      <alignment horizontal="center" vertical="center"/>
    </xf>
    <xf numFmtId="49" fontId="32" fillId="0" borderId="31" xfId="73" applyNumberFormat="1" applyFont="1" applyFill="1" applyBorder="1" applyAlignment="1">
      <alignment horizontal="center" vertical="center"/>
    </xf>
    <xf numFmtId="49" fontId="8" fillId="0" borderId="28" xfId="73" applyNumberFormat="1" applyFont="1" applyFill="1" applyBorder="1" applyAlignment="1">
      <alignment horizontal="center" vertical="center" wrapText="1"/>
    </xf>
    <xf numFmtId="49" fontId="3" fillId="0" borderId="26" xfId="73" applyNumberFormat="1" applyFont="1" applyFill="1" applyBorder="1" applyAlignment="1">
      <alignment horizontal="center" vertical="center" wrapText="1"/>
    </xf>
    <xf numFmtId="49" fontId="3" fillId="0" borderId="27" xfId="73" applyNumberFormat="1" applyFont="1" applyFill="1" applyBorder="1" applyAlignment="1">
      <alignment horizontal="center" vertical="center" wrapText="1"/>
    </xf>
    <xf numFmtId="49" fontId="3" fillId="0" borderId="25" xfId="73" applyNumberFormat="1" applyFont="1" applyFill="1" applyBorder="1" applyAlignment="1">
      <alignment horizontal="center" vertical="center" wrapText="1"/>
    </xf>
    <xf numFmtId="49" fontId="3" fillId="0" borderId="19" xfId="73" applyNumberFormat="1" applyFont="1" applyFill="1" applyBorder="1" applyAlignment="1">
      <alignment horizontal="center" vertical="center" wrapText="1"/>
    </xf>
    <xf numFmtId="49" fontId="3" fillId="0" borderId="21" xfId="73" applyNumberFormat="1" applyFont="1" applyFill="1" applyBorder="1" applyAlignment="1">
      <alignment horizontal="center" vertical="center" wrapText="1"/>
    </xf>
    <xf numFmtId="49" fontId="3" fillId="0" borderId="22" xfId="73" applyNumberFormat="1" applyFont="1" applyFill="1" applyBorder="1" applyAlignment="1">
      <alignment horizontal="center" vertical="center" wrapText="1"/>
    </xf>
    <xf numFmtId="0" fontId="3" fillId="0" borderId="24" xfId="73" applyFont="1" applyFill="1" applyBorder="1" applyAlignment="1">
      <alignment horizontal="center" vertical="center" wrapText="1"/>
    </xf>
    <xf numFmtId="0" fontId="3" fillId="0" borderId="20" xfId="73" applyFont="1" applyFill="1" applyBorder="1" applyAlignment="1">
      <alignment horizontal="center" vertical="center" wrapText="1"/>
    </xf>
    <xf numFmtId="0" fontId="3" fillId="0" borderId="29" xfId="73" applyFont="1" applyFill="1" applyBorder="1" applyAlignment="1">
      <alignment horizontal="center" vertical="center" wrapText="1"/>
    </xf>
    <xf numFmtId="0" fontId="3" fillId="0" borderId="31" xfId="73" applyFont="1" applyFill="1" applyBorder="1" applyAlignment="1">
      <alignment horizontal="center" vertical="center" wrapText="1"/>
    </xf>
    <xf numFmtId="0" fontId="3" fillId="0" borderId="30" xfId="73" applyFont="1" applyFill="1" applyBorder="1" applyAlignment="1">
      <alignment horizontal="center" vertical="center" wrapText="1"/>
    </xf>
    <xf numFmtId="0" fontId="38" fillId="22" borderId="0" xfId="73" applyFont="1" applyFill="1" applyAlignment="1">
      <alignment horizontal="center" vertical="center" wrapText="1"/>
    </xf>
  </cellXfs>
  <cellStyles count="7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Обычный" xfId="0" builtinId="0"/>
    <cellStyle name="Обычный 2" xfId="73"/>
    <cellStyle name="Обычный 3" xfId="74"/>
    <cellStyle name="Обычный_Ведомственная структура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0975" cy="266700"/>
    <xdr:sp macro="" textlink="">
      <xdr:nvSpPr>
        <xdr:cNvPr id="2912783" name="TextBox 6618"/>
        <xdr:cNvSpPr txBox="1">
          <a:spLocks noChangeArrowheads="1"/>
        </xdr:cNvSpPr>
      </xdr:nvSpPr>
      <xdr:spPr bwMode="auto">
        <a:xfrm>
          <a:off x="10639425" y="19202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7" name="TextBox 18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9" name="TextBox 18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5" name="TextBox 18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1" name="TextBox 18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4" name="TextBox 18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7" name="TextBox 18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3" name="TextBox 18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6" name="TextBox 18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9" name="TextBox 18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2" name="TextBox 18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5" name="TextBox 18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8" name="TextBox 18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1" name="TextBox 18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4" name="TextBox 18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7" name="TextBox 18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0" name="TextBox 18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6" name="TextBox 18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9" name="TextBox 18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2" name="TextBox 18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5" name="TextBox 18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8" name="TextBox 18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1" name="TextBox 18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4" name="TextBox 18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7" name="TextBox 18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0" name="TextBox 18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3" name="TextBox 18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6" name="TextBox 18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9" name="TextBox 18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2" name="TextBox 18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5" name="TextBox 18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1" name="TextBox 18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4" name="TextBox 18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7" name="TextBox 18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0" name="TextBox 18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6" name="TextBox 18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9" name="TextBox 18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2" name="TextBox 18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5" name="TextBox 18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8" name="TextBox 18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4" name="TextBox 18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7" name="TextBox 18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40" name="TextBox 18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3" name="TextBox 18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6" name="TextBox 18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9" name="TextBox 18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2" name="TextBox 18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5" name="TextBox 18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9" name="TextBox 18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1" name="TextBox 19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5" name="TextBox 19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5" name="TextBox 19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1" name="TextBox 19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7" name="TextBox 19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3" name="TextBox 19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9" name="TextBox 19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5" name="TextBox 19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1" name="TextBox 19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7" name="TextBox 19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3" name="TextBox 19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9" name="TextBox 19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5" name="TextBox 19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7" name="TextBox 19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3" name="TextBox 19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9" name="TextBox 19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5" name="TextBox 19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1" name="TextBox 19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7" name="TextBox 19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3" name="TextBox 19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9" name="TextBox 19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5" name="TextBox 19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1" name="TextBox 19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7" name="TextBox 19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3" name="TextBox 19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9" name="TextBox 19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5" name="TextBox 19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1" name="TextBox 19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7" name="TextBox 19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3" name="TextBox 19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9" name="TextBox 19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5" name="TextBox 19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5" name="TextBox 19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1" name="TextBox 19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7" name="TextBox 19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3" name="TextBox 19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9" name="TextBox 19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5" name="TextBox 19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1" name="TextBox 19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3" name="TextBox 20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9" name="TextBox 20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5" name="TextBox 20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1" name="TextBox 20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3" name="TextBox 20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9" name="TextBox 20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5" name="TextBox 20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1" name="TextBox 20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1" name="TextBox 20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1" name="TextBox 20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7" name="TextBox 20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3" name="TextBox 20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9" name="TextBox 20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5" name="TextBox 20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1" name="TextBox 20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7" name="TextBox 20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3" name="TextBox 20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9" name="TextBox 20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5" name="TextBox 20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1" name="TextBox 20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7" name="TextBox 20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3" name="TextBox 20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9" name="TextBox 20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5" name="TextBox 20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1" name="TextBox 20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7" name="TextBox 20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9" name="TextBox 20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5" name="TextBox 20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1" name="TextBox 20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7" name="TextBox 20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3" name="TextBox 20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9" name="TextBox 20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5" name="TextBox 20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1" name="TextBox 20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7" name="TextBox 20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3" name="TextBox 20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9" name="TextBox 20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5" name="TextBox 20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1" name="TextBox 20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7" name="TextBox 20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3" name="TextBox 20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9" name="TextBox 20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5" name="TextBox 20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1" name="TextBox 20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3" name="TextBox 20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9" name="TextBox 20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5" name="TextBox 20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1" name="TextBox 20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7" name="TextBox 20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3" name="TextBox 20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9" name="TextBox 20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5" name="TextBox 20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1" name="TextBox 20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7" name="TextBox 20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3" name="TextBox 20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9" name="TextBox 20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5" name="TextBox 20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1" name="TextBox 20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7" name="TextBox 20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3" name="TextBox 20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9" name="TextBox 20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5" name="TextBox 20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1" name="TextBox 20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7" name="TextBox 20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3" name="TextBox 20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9" name="TextBox 20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5" name="TextBox 20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1" name="TextBox 20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7" name="TextBox 20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3" name="TextBox 20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9" name="TextBox 20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5" name="TextBox 20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1" name="TextBox 20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7" name="TextBox 20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3" name="TextBox 20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9" name="TextBox 20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5" name="TextBox 20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1" name="TextBox 20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7" name="TextBox 20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3" name="TextBox 20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9" name="TextBox 20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5" name="TextBox 20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7" name="TextBox 20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3" name="TextBox 20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9" name="TextBox 20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5" name="TextBox 20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1" name="TextBox 20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7" name="TextBox 20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3" name="TextBox 20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9" name="TextBox 20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5" name="TextBox 20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1" name="TextBox 20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7" name="TextBox 20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3" name="TextBox 20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9" name="TextBox 20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5" name="TextBox 20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1" name="TextBox 20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7" name="TextBox 20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3" name="TextBox 20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9" name="TextBox 20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1" name="TextBox 20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7" name="TextBox 20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3" name="TextBox 20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9" name="TextBox 20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5" name="TextBox 21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1" name="TextBox 21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7" name="TextBox 21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3" name="TextBox 21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9" name="TextBox 21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5" name="TextBox 21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1" name="TextBox 21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7" name="TextBox 21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3" name="TextBox 21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9" name="TextBox 21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5" name="TextBox 21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1" name="TextBox 21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7" name="TextBox 21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3" name="TextBox 21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9" name="TextBox 21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5" name="TextBox 21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1" name="TextBox 21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7" name="TextBox 21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3" name="TextBox 21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9" name="TextBox 21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5" name="TextBox 21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1" name="TextBox 21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7" name="TextBox 21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3" name="TextBox 21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9" name="TextBox 21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5" name="TextBox 21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1" name="TextBox 21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3" name="TextBox 21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9" name="TextBox 21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5" name="TextBox 21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1" name="TextBox 21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7" name="TextBox 21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3" name="TextBox 21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9" name="TextBox 21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5" name="TextBox 21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1" name="TextBox 21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7" name="TextBox 21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3" name="TextBox 21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9" name="TextBox 21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5" name="TextBox 21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1" name="TextBox 21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4" name="TextBox 21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7" name="TextBox 21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0" name="TextBox 21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3" name="TextBox 21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9" name="TextBox 21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2" name="TextBox 21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5" name="TextBox 21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8" name="TextBox 21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1" name="TextBox 21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4" name="TextBox 21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7" name="TextBox 21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90" name="TextBox 21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3" name="TextBox 21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6" name="TextBox 21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9" name="TextBox 21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2" name="TextBox 21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5" name="TextBox 21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8" name="TextBox 21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1" name="TextBox 21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4" name="TextBox 21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7" name="TextBox 21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0" name="TextBox 21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6" name="TextBox 21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9" name="TextBox 21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2" name="TextBox 21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5" name="TextBox 21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8" name="TextBox 21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1" name="TextBox 21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4" name="TextBox 21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7" name="TextBox 21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50" name="TextBox 21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3" name="TextBox 21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6" name="TextBox 21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9" name="TextBox 21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2" name="TextBox 21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5" name="TextBox 21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8" name="TextBox 21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1" name="TextBox 21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4" name="TextBox 21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7" name="TextBox 21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3" name="TextBox 21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6" name="TextBox 21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9" name="TextBox 21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2" name="TextBox 21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5" name="TextBox 21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8" name="TextBox 21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1" name="TextBox 21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4" name="TextBox 21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7" name="TextBox 21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0" name="TextBox 21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3" name="TextBox 21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6" name="TextBox 21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9" name="TextBox 21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2" name="TextBox 21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5" name="TextBox 21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8" name="TextBox 21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1" name="TextBox 21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4" name="TextBox 21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40" name="TextBox 21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3" name="TextBox 21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6" name="TextBox 21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9" name="TextBox 21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2" name="TextBox 21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5" name="TextBox 21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8" name="TextBox 2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1" name="TextBox 2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4" name="TextBox 2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7" name="TextBox 2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70" name="TextBox 2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3" name="TextBox 2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6" name="TextBox 2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9" name="TextBox 2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2" name="TextBox 2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5" name="TextBox 2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8" name="TextBox 2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1" name="TextBox 2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4" name="TextBox 2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0" name="TextBox 2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3" name="TextBox 2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6" name="TextBox 2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9" name="TextBox 2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2" name="TextBox 2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5" name="TextBox 2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8" name="TextBox 2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1" name="TextBox 2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4" name="TextBox 2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7" name="TextBox 2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30" name="TextBox 2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3" name="TextBox 2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6" name="TextBox 2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9" name="TextBox 2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2" name="TextBox 2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5" name="TextBox 2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8" name="TextBox 2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1" name="TextBox 2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4" name="TextBox 2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7" name="TextBox 2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0" name="TextBox 2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3" name="TextBox 2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6" name="TextBox 2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9" name="TextBox 2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2" name="TextBox 2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5" name="TextBox 2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8" name="TextBox 2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1" name="TextBox 2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4" name="TextBox 2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7" name="TextBox 2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0" name="TextBox 2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3" name="TextBox 2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6" name="TextBox 2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9" name="TextBox 2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2" name="TextBox 2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5" name="TextBox 2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8" name="TextBox 2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1" name="TextBox 2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4" name="TextBox 2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7" name="TextBox 2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0" name="TextBox 2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3" name="TextBox 2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6" name="TextBox 2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9" name="TextBox 2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5" name="TextBox 2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8" name="TextBox 2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1" name="TextBox 2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4" name="TextBox 2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7" name="TextBox 2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0" name="TextBox 2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3" name="TextBox 2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6" name="TextBox 2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9" name="TextBox 2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2" name="TextBox 2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5" name="TextBox 2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8" name="TextBox 2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1" name="TextBox 2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4" name="TextBox 2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7" name="TextBox 2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0" name="TextBox 2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3" name="TextBox 2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6" name="TextBox 2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9" name="TextBox 2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2" name="TextBox 2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5" name="TextBox 2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8" name="TextBox 2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1" name="TextBox 2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4" name="TextBox 2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7" name="TextBox 2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0" name="TextBox 2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3" name="TextBox 2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6" name="TextBox 2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9" name="TextBox 2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2" name="TextBox 2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5" name="TextBox 2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8" name="TextBox 2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4" name="TextBox 2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7" name="TextBox 2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0" name="TextBox 2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3" name="TextBox 2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6" name="TextBox 2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9" name="TextBox 2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2" name="TextBox 2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5" name="TextBox 2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8" name="TextBox 2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1" name="TextBox 2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4" name="TextBox 2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7" name="TextBox 2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0" name="TextBox 2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3" name="TextBox 2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6" name="TextBox 2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9" name="TextBox 2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2" name="TextBox 2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5" name="TextBox 2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1" name="TextBox 2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4" name="TextBox 2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7" name="TextBox 2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0" name="TextBox 2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3" name="TextBox 2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6" name="TextBox 2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9" name="TextBox 2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2" name="TextBox 2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5" name="TextBox 2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8" name="TextBox 2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1" name="TextBox 2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4" name="TextBox 2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7" name="TextBox 2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0" name="TextBox 2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3" name="TextBox 2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6" name="TextBox 2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9" name="TextBox 2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2" name="TextBox 2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8" name="TextBox 2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1" name="TextBox 2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4" name="TextBox 2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7" name="TextBox 2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0" name="TextBox 2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3" name="TextBox 2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6" name="TextBox 2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9" name="TextBox 2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2" name="TextBox 2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5" name="TextBox 2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8" name="TextBox 2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1" name="TextBox 2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4" name="TextBox 2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7" name="TextBox 2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0" name="TextBox 2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3" name="TextBox 2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6" name="TextBox 2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9" name="TextBox 2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5" name="TextBox 2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8" name="TextBox 2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1" name="TextBox 2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4" name="TextBox 2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7" name="TextBox 2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0" name="TextBox 2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3" name="TextBox 2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6" name="TextBox 2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9" name="TextBox 2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2" name="TextBox 2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5" name="TextBox 2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8" name="TextBox 2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1" name="TextBox 2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4" name="TextBox 2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7" name="TextBox 2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50" name="TextBox 2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3" name="TextBox 2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6" name="TextBox 2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9" name="TextBox 2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5" name="TextBox 2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8" name="TextBox 2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1" name="TextBox 2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4" name="TextBox 2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7" name="TextBox 2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0" name="TextBox 2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3" name="TextBox 2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6" name="TextBox 2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9" name="TextBox 2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2" name="TextBox 2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5" name="TextBox 2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8" name="TextBox 2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1" name="TextBox 2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4" name="TextBox 2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7" name="TextBox 2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10" name="TextBox 2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3" name="TextBox 2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6" name="TextBox 2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9" name="TextBox 2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2" name="TextBox 2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5" name="TextBox 2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8" name="TextBox 2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1" name="TextBox 2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4" name="TextBox 2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7" name="TextBox 2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40" name="TextBox 2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3" name="TextBox 2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6" name="TextBox 2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9" name="TextBox 2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2" name="TextBox 2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5" name="TextBox 2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8" name="TextBox 2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1" name="TextBox 2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4" name="TextBox 2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7" name="TextBox 2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0" name="TextBox 2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3" name="TextBox 2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6" name="TextBox 2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2" name="TextBox 2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5" name="TextBox 2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8" name="TextBox 2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1" name="TextBox 2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4" name="TextBox 2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00" name="TextBox 2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3" name="TextBox 2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6" name="TextBox 2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9" name="TextBox 2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2" name="TextBox 2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8" name="TextBox 2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1" name="TextBox 2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4" name="TextBox 2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7" name="TextBox 2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30" name="TextBox 2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3" name="TextBox 2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6" name="TextBox 2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9" name="TextBox 2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2" name="TextBox 2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5" name="TextBox 2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8" name="TextBox 2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1" name="TextBox 2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4" name="TextBox 2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0" name="TextBox 2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3" name="TextBox 2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6" name="TextBox 2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9" name="TextBox 2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2" name="TextBox 2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5" name="TextBox 2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8" name="TextBox 2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1" name="TextBox 2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4" name="TextBox 2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7" name="TextBox 2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90" name="TextBox 2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6" name="TextBox 2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9" name="TextBox 2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2" name="TextBox 2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5" name="TextBox 2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8" name="TextBox 2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1" name="TextBox 2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4" name="TextBox 2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7" name="TextBox 2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20" name="TextBox 2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3" name="TextBox 2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6" name="TextBox 2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9" name="TextBox 2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2" name="TextBox 2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5" name="TextBox 2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8" name="TextBox 2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1" name="TextBox 2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4" name="TextBox 2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7" name="TextBox 2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50" name="TextBox 2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6" name="TextBox 2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9" name="TextBox 2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2" name="TextBox 2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5" name="TextBox 2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8" name="TextBox 2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1" name="TextBox 2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4" name="TextBox 2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7" name="TextBox 2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0" name="TextBox 2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3" name="TextBox 2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6" name="TextBox 2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9" name="TextBox 2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2" name="TextBox 2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5" name="TextBox 2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8" name="TextBox 2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1" name="TextBox 2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4" name="TextBox 2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7" name="TextBox 2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3" name="TextBox 2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6" name="TextBox 2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9" name="TextBox 2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2" name="TextBox 2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5" name="TextBox 2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8" name="TextBox 2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1" name="TextBox 2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4" name="TextBox 2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7" name="TextBox 2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0" name="TextBox 2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3" name="TextBox 2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6" name="TextBox 2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9" name="TextBox 2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2" name="TextBox 2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5" name="TextBox 2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8" name="TextBox 2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1" name="TextBox 2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4" name="TextBox 2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0" name="TextBox 2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3" name="TextBox 2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6" name="TextBox 2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9" name="TextBox 2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2" name="TextBox 2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5" name="TextBox 2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8" name="TextBox 2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1" name="TextBox 2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4" name="TextBox 2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7" name="TextBox 2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00" name="TextBox 2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3" name="TextBox 2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6" name="TextBox 2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9" name="TextBox 2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5" name="TextBox 2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8" name="TextBox 2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1" name="TextBox 2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4" name="TextBox 2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7" name="TextBox 2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0" name="TextBox 2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3" name="TextBox 2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6" name="TextBox 2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9" name="TextBox 2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2" name="TextBox 2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8" name="TextBox 2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1" name="TextBox 2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4" name="TextBox 2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7" name="TextBox 2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0" name="TextBox 2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3" name="TextBox 2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6" name="TextBox 2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9" name="TextBox 2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2" name="TextBox 2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5" name="TextBox 2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8" name="TextBox 2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1" name="TextBox 2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4" name="TextBox 2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7" name="TextBox 2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3" name="TextBox 2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6" name="TextBox 2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9" name="TextBox 2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2" name="TextBox 2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5" name="TextBox 2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8" name="TextBox 2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1" name="TextBox 2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4" name="TextBox 2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7" name="TextBox 2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20" name="TextBox 2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6" name="TextBox 2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9" name="TextBox 2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2" name="TextBox 2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5" name="TextBox 2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8" name="TextBox 2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1" name="TextBox 2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4" name="TextBox 2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7" name="TextBox 2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50" name="TextBox 2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3" name="TextBox 2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6" name="TextBox 2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9" name="TextBox 2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2" name="TextBox 2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5" name="TextBox 2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1" name="TextBox 2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4" name="TextBox 2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7" name="TextBox 2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0" name="TextBox 2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3" name="TextBox 2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6" name="TextBox 2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9" name="TextBox 2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2" name="TextBox 2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5" name="TextBox 2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8" name="TextBox 2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4" name="TextBox 2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7" name="TextBox 2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0" name="TextBox 2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3" name="TextBox 2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6" name="TextBox 2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9" name="TextBox 2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2" name="TextBox 2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5" name="TextBox 2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8" name="TextBox 2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1" name="TextBox 2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4" name="TextBox 2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7" name="TextBox 2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40" name="TextBox 2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3" name="TextBox 2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6" name="TextBox 2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9" name="TextBox 2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2" name="TextBox 2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5" name="TextBox 2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8" name="TextBox 2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4" name="TextBox 2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7" name="TextBox 2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0" name="TextBox 2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3" name="TextBox 2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6" name="TextBox 2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9" name="TextBox 2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2" name="TextBox 2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5" name="TextBox 2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8" name="TextBox 2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1" name="TextBox 2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4" name="TextBox 2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7" name="TextBox 2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0" name="TextBox 2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3" name="TextBox 2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6" name="TextBox 2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9" name="TextBox 2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2" name="TextBox 2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5" name="TextBox 2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8" name="TextBox 2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1" name="TextBox 2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4" name="TextBox 2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7" name="TextBox 2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30" name="TextBox 2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3" name="TextBox 2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6" name="TextBox 2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9" name="TextBox 2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2" name="TextBox 2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5" name="TextBox 2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8" name="TextBox 2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1" name="TextBox 2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4" name="TextBox 2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7" name="TextBox 2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60" name="TextBox 2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3" name="TextBox 2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6" name="TextBox 2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9" name="TextBox 2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2" name="TextBox 2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5" name="TextBox 2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1" name="TextBox 2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4" name="TextBox 2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7" name="TextBox 2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0" name="TextBox 2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3" name="TextBox 2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9" name="TextBox 2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2" name="TextBox 2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5" name="TextBox 2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8" name="TextBox 2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1" name="TextBox 2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7" name="TextBox 2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20" name="TextBox 2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3" name="TextBox 2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6" name="TextBox 2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9" name="TextBox 2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2" name="TextBox 2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5" name="TextBox 2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8" name="TextBox 2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1" name="TextBox 2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4" name="TextBox 2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7" name="TextBox 2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50" name="TextBox 2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3" name="TextBox 2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9" name="TextBox 2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2" name="TextBox 2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5" name="TextBox 2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8" name="TextBox 2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1" name="TextBox 2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4" name="TextBox 2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7" name="TextBox 2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0" name="TextBox 2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3" name="TextBox 2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6" name="TextBox 2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9" name="TextBox 2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5" name="TextBox 2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8" name="TextBox 2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1" name="TextBox 2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4" name="TextBox 2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7" name="TextBox 2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0" name="TextBox 2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3" name="TextBox 2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6" name="TextBox 2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9" name="TextBox 2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2" name="TextBox 2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5" name="TextBox 2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8" name="TextBox 2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1" name="TextBox 2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4" name="TextBox 2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7" name="TextBox 2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0" name="TextBox 2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3" name="TextBox 2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6" name="TextBox 2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9" name="TextBox 2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5" name="TextBox 2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8" name="TextBox 2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1" name="TextBox 2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4" name="TextBox 2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7" name="TextBox 2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0" name="TextBox 2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3" name="TextBox 2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6" name="TextBox 2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9" name="TextBox 2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2" name="TextBox 2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5" name="TextBox 2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8" name="TextBox 2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1" name="TextBox 2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4" name="TextBox 2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7" name="TextBox 2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0" name="TextBox 2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3" name="TextBox 2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6" name="TextBox 2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9" name="TextBox 2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2" name="TextBox 2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5" name="TextBox 2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8" name="TextBox 2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1" name="TextBox 2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4" name="TextBox 2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7" name="TextBox 2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0" name="TextBox 2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3" name="TextBox 2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6" name="TextBox 2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9" name="TextBox 2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2" name="TextBox 2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5" name="TextBox 2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8" name="TextBox 2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1" name="TextBox 2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4" name="TextBox 2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7" name="TextBox 2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0" name="TextBox 2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3" name="TextBox 2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6" name="TextBox 2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2" name="TextBox 2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5" name="TextBox 2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8" name="TextBox 2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1" name="TextBox 2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4" name="TextBox 2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0" name="TextBox 2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3" name="TextBox 2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6" name="TextBox 2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9" name="TextBox 2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2" name="TextBox 2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8" name="TextBox 2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1" name="TextBox 2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4" name="TextBox 2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7" name="TextBox 2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20" name="TextBox 2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3" name="TextBox 2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6" name="TextBox 2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9" name="TextBox 2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2" name="TextBox 2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5" name="TextBox 2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8" name="TextBox 2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1" name="TextBox 2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4" name="TextBox 2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0" name="TextBox 2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3" name="TextBox 2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6" name="TextBox 2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9" name="TextBox 2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2" name="TextBox 2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5" name="TextBox 2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8" name="TextBox 2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1" name="TextBox 2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4" name="TextBox 2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0" name="TextBox 2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3" name="TextBox 2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6" name="TextBox 2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9" name="TextBox 2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2" name="TextBox 2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5" name="TextBox 2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8" name="TextBox 2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1" name="TextBox 2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4" name="TextBox 2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0" name="TextBox 2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3" name="TextBox 2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6" name="TextBox 2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9" name="TextBox 2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2" name="TextBox 2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5" name="TextBox 2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8" name="TextBox 2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1" name="TextBox 2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4" name="TextBox 2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7" name="TextBox 2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30" name="TextBox 2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3" name="TextBox 2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6" name="TextBox 2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9" name="TextBox 2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2" name="TextBox 2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5" name="TextBox 2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8" name="TextBox 2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1" name="TextBox 2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7" name="TextBox 2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0" name="TextBox 2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3" name="TextBox 2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6" name="TextBox 2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9" name="TextBox 2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2" name="TextBox 2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5" name="TextBox 2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8" name="TextBox 2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1" name="TextBox 2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4" name="TextBox 2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7" name="TextBox 2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90" name="TextBox 2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3" name="TextBox 2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6" name="TextBox 2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9" name="TextBox 2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2" name="TextBox 2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5" name="TextBox 2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8" name="TextBox 2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4" name="TextBox 2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7" name="TextBox 2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20" name="TextBox 2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3" name="TextBox 2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6" name="TextBox 2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9" name="TextBox 2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2" name="TextBox 2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5" name="TextBox 2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8" name="TextBox 2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1" name="TextBox 2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4" name="TextBox 2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7" name="TextBox 2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0" name="TextBox 2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3" name="TextBox 2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6" name="TextBox 2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9" name="TextBox 2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2" name="TextBox 2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5" name="TextBox 2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8" name="TextBox 2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4" name="TextBox 2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7" name="TextBox 2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80" name="TextBox 2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3" name="TextBox 2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6" name="TextBox 2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9" name="TextBox 2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2" name="TextBox 2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5" name="TextBox 2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8" name="TextBox 2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1" name="TextBox 2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4" name="TextBox 2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7" name="TextBox 2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10" name="TextBox 2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3" name="TextBox 2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6" name="TextBox 2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9" name="TextBox 2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2" name="TextBox 2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5" name="TextBox 2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8" name="TextBox 2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1" name="TextBox 2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4" name="TextBox 2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7" name="TextBox 2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0" name="TextBox 2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3" name="TextBox 2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6" name="TextBox 2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9" name="TextBox 2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2" name="TextBox 2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5" name="TextBox 2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8" name="TextBox 2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1" name="TextBox 2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4" name="TextBox 2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7" name="TextBox 2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70" name="TextBox 2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3" name="TextBox 2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6" name="TextBox 2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9" name="TextBox 2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2" name="TextBox 2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5" name="TextBox 2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1" name="TextBox 2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4" name="TextBox 2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7" name="TextBox 2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00" name="TextBox 2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3" name="TextBox 2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6" name="TextBox 2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9" name="TextBox 2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2" name="TextBox 2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5" name="TextBox 2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8" name="TextBox 2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1" name="TextBox 2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4" name="TextBox 2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7" name="TextBox 2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0" name="TextBox 2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3" name="TextBox 2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6" name="TextBox 2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9" name="TextBox 2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2" name="TextBox 2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5" name="TextBox 2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8" name="TextBox 2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1" name="TextBox 2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4" name="TextBox 2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7" name="TextBox 2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0" name="TextBox 2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3" name="TextBox 2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6" name="TextBox 2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9" name="TextBox 2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2" name="TextBox 2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5" name="TextBox 2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8" name="TextBox 2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1" name="TextBox 2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4" name="TextBox 2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7" name="TextBox 2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0" name="TextBox 2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3" name="TextBox 2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6" name="TextBox 2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9" name="TextBox 2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2" name="TextBox 2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8" name="TextBox 2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1" name="TextBox 2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4" name="TextBox 2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7" name="TextBox 2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20" name="TextBox 2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3" name="TextBox 2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6" name="TextBox 2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9" name="TextBox 2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2" name="TextBox 2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5" name="TextBox 2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8" name="TextBox 2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1" name="TextBox 2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4" name="TextBox 2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7" name="TextBox 2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0" name="TextBox 2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3" name="TextBox 2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6" name="TextBox 2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9" name="TextBox 2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2" name="TextBox 2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5" name="TextBox 2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8" name="TextBox 2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1" name="TextBox 2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4" name="TextBox 2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7" name="TextBox 2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0" name="TextBox 2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3" name="TextBox 2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6" name="TextBox 2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9" name="TextBox 2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2" name="TextBox 2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5" name="TextBox 2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8" name="TextBox 2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1" name="TextBox 2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4" name="TextBox 2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7" name="TextBox 2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10" name="TextBox 2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3" name="TextBox 2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6" name="TextBox 2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2" name="TextBox 2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5" name="TextBox 2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8" name="TextBox 2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1" name="TextBox 2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4" name="TextBox 2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7" name="TextBox 2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0" name="TextBox 2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3" name="TextBox 2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6" name="TextBox 2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9" name="TextBox 2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2" name="TextBox 2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5" name="TextBox 2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8" name="TextBox 2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1" name="TextBox 2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4" name="TextBox 2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7" name="TextBox 2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0" name="TextBox 2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3" name="TextBox 2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9" name="TextBox 2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2" name="TextBox 2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5" name="TextBox 2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8" name="TextBox 2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1" name="TextBox 2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4" name="TextBox 2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7" name="TextBox 2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0" name="TextBox 2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3" name="TextBox 2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6" name="TextBox 2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9" name="TextBox 2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2" name="TextBox 2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5" name="TextBox 2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8" name="TextBox 2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1" name="TextBox 2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4" name="TextBox 2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7" name="TextBox 2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0" name="TextBox 2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3" name="TextBox 2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6" name="TextBox 2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9" name="TextBox 2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2" name="TextBox 2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5" name="TextBox 2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8" name="TextBox 2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1" name="TextBox 2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4" name="TextBox 2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7" name="TextBox 2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0" name="TextBox 2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3" name="TextBox 2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6" name="TextBox 2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9" name="TextBox 2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2" name="TextBox 2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5" name="TextBox 2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8" name="TextBox 2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1" name="TextBox 2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4" name="TextBox 2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7" name="TextBox 2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0" name="TextBox 2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3" name="TextBox 2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6" name="TextBox 2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9" name="TextBox 2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2" name="TextBox 2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5" name="TextBox 2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8" name="TextBox 2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1" name="TextBox 2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4" name="TextBox 2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7" name="TextBox 2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0" name="TextBox 2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3" name="TextBox 2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6" name="TextBox 2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9" name="TextBox 2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2" name="TextBox 2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5" name="TextBox 2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8" name="TextBox 2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1" name="TextBox 2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4" name="TextBox 2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7" name="TextBox 2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0" name="TextBox 2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6" name="TextBox 2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9" name="TextBox 2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2" name="TextBox 2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5" name="TextBox 2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8" name="TextBox 2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1" name="TextBox 2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4" name="TextBox 2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7" name="TextBox 2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0" name="TextBox 2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3" name="TextBox 2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6" name="TextBox 2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9" name="TextBox 2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2" name="TextBox 2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5" name="TextBox 2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8" name="TextBox 2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1" name="TextBox 2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4" name="TextBox 2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7" name="TextBox 2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10" name="TextBox 2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3" name="TextBox 2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6" name="TextBox 2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9" name="TextBox 2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2" name="TextBox 2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5" name="TextBox 2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8" name="TextBox 2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1" name="TextBox 2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4" name="TextBox 2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7" name="TextBox 2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0" name="TextBox 2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3" name="TextBox 2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6" name="TextBox 2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9" name="TextBox 2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2" name="TextBox 2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5" name="TextBox 2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8" name="TextBox 2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1" name="TextBox 2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4" name="TextBox 2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0" name="TextBox 2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3" name="TextBox 2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6" name="TextBox 2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9" name="TextBox 2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2" name="TextBox 2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5" name="TextBox 2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8" name="TextBox 2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1" name="TextBox 2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4" name="TextBox 2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7" name="TextBox 2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0" name="TextBox 2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3" name="TextBox 2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6" name="TextBox 2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9" name="TextBox 2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2" name="TextBox 2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5" name="TextBox 2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8" name="TextBox 2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1" name="TextBox 2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4" name="TextBox 2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0" name="TextBox 2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3" name="TextBox 2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6" name="TextBox 2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9" name="TextBox 2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2" name="TextBox 2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5" name="TextBox 2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8" name="TextBox 2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1" name="TextBox 2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4" name="TextBox 2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7" name="TextBox 2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0" name="TextBox 2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3" name="TextBox 2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6" name="TextBox 2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9" name="TextBox 2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2" name="TextBox 2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5" name="TextBox 2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8" name="TextBox 2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1" name="TextBox 2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4" name="TextBox 2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7" name="TextBox 2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0" name="TextBox 2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3" name="TextBox 2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6" name="TextBox 2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9" name="TextBox 2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2" name="TextBox 2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5" name="TextBox 2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8" name="TextBox 2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1" name="TextBox 2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4" name="TextBox 2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7" name="TextBox 2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0" name="TextBox 2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3" name="TextBox 2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6" name="TextBox 2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9" name="TextBox 2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2" name="TextBox 2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5" name="TextBox 2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8" name="TextBox 2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1" name="TextBox 2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4" name="TextBox 2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7" name="TextBox 2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0" name="TextBox 2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3" name="TextBox 2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6" name="TextBox 2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9" name="TextBox 2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2" name="TextBox 2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5" name="TextBox 2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8" name="TextBox 2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1" name="TextBox 2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4" name="TextBox 2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7" name="TextBox 2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80" name="TextBox 2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3" name="TextBox 2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6" name="TextBox 2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9" name="TextBox 2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2" name="TextBox 2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5" name="TextBox 2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8" name="TextBox 2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1" name="TextBox 2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4" name="TextBox 2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7" name="TextBox 2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0" name="TextBox 2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3" name="TextBox 2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6" name="TextBox 2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9" name="TextBox 2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2" name="TextBox 2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5" name="TextBox 2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8" name="TextBox 2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1" name="TextBox 2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4" name="TextBox 2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7" name="TextBox 2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40" name="TextBox 2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3" name="TextBox 2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6" name="TextBox 2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9" name="TextBox 2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2" name="TextBox 2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5" name="TextBox 2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8" name="TextBox 2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1" name="TextBox 2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4" name="TextBox 2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7" name="TextBox 2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70" name="TextBox 2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3" name="TextBox 2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6" name="TextBox 2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9" name="TextBox 2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2" name="TextBox 2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5" name="TextBox 2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8" name="TextBox 2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1" name="TextBox 2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4" name="TextBox 2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7" name="TextBox 2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0" name="TextBox 2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3" name="TextBox 2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6" name="TextBox 2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9" name="TextBox 2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2" name="TextBox 2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5" name="TextBox 2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8" name="TextBox 2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1" name="TextBox 2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4" name="TextBox 2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5" name="TextBox 2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6" name="TextBox 2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7" name="TextBox 2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8" name="TextBox 2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1" name="TextBox 2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4" name="TextBox 2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7" name="TextBox 2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0" name="TextBox 2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3" name="TextBox 2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6" name="TextBox 2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49" name="TextBox 2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2" name="TextBox 2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5" name="TextBox 2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8" name="TextBox 2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1" name="TextBox 2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4" name="TextBox 2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7" name="TextBox 2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0" name="TextBox 2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3" name="TextBox 2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6" name="TextBox 2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9" name="TextBox 2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2" name="TextBox 2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5" name="TextBox 2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8" name="TextBox 2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1" name="TextBox 2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4" name="TextBox 2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7" name="TextBox 2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0" name="TextBox 2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3" name="TextBox 2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6" name="TextBox 2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09" name="TextBox 2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2" name="TextBox 2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5" name="TextBox 2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8" name="TextBox 2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1" name="TextBox 2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4" name="TextBox 2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7" name="TextBox 2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0" name="TextBox 2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3" name="TextBox 2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6" name="TextBox 2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39" name="TextBox 2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2" name="TextBox 2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5" name="TextBox 2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8" name="TextBox 2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1" name="TextBox 2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4" name="TextBox 2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7" name="TextBox 2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0" name="TextBox 2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3" name="TextBox 2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6" name="TextBox 2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9" name="TextBox 2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2" name="TextBox 2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3" name="TextBox 2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4" name="TextBox 2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5" name="TextBox 2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6" name="TextBox 2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7" name="TextBox 2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8" name="TextBox 2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9" name="TextBox 2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80" name="TextBox 2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1" name="TextBox 2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2" name="TextBox 2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3" name="TextBox 2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4" name="TextBox 2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7" name="TextBox 2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0" name="TextBox 2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3" name="TextBox 2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9" name="TextBox 2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2" name="TextBox 2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5" name="TextBox 2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8" name="TextBox 2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1" name="TextBox 2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4" name="TextBox 2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7" name="TextBox 2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0" name="TextBox 2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3" name="TextBox 2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6" name="TextBox 2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9" name="TextBox 2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2" name="TextBox 2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5" name="TextBox 2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8" name="TextBox 2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1" name="TextBox 2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4" name="TextBox 2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7" name="TextBox 2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0" name="TextBox 2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3" name="TextBox 2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6" name="TextBox 2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9" name="TextBox 2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2" name="TextBox 2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5" name="TextBox 2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8" name="TextBox 2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1" name="TextBox 2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4" name="TextBox 2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7" name="TextBox 2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0" name="TextBox 2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3" name="TextBox 2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6" name="TextBox 2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9" name="TextBox 2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2" name="TextBox 2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5" name="TextBox 2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8" name="TextBox 2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1" name="TextBox 2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4" name="TextBox 2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7" name="TextBox 2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0" name="TextBox 2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3" name="TextBox 2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6" name="TextBox 2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9" name="TextBox 2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2" name="TextBox 2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5" name="TextBox 2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8" name="TextBox 2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9" name="TextBox 2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0" name="TextBox 2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1" name="TextBox 2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2" name="TextBox 2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3" name="TextBox 2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4" name="TextBox 2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5" name="TextBox 2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6" name="TextBox 2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7" name="TextBox 2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8" name="TextBox 2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49" name="TextBox 2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0" name="TextBox 2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1" name="TextBox 2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2" name="TextBox 2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3" name="TextBox 2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4" name="TextBox 2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5" name="TextBox 2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6" name="TextBox 2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7" name="TextBox 2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8" name="TextBox 2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9" name="TextBox 2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0" name="TextBox 2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1" name="TextBox 2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2" name="TextBox 2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3" name="TextBox 2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4" name="TextBox 2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5" name="TextBox 2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6" name="TextBox 2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7" name="TextBox 2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8" name="TextBox 2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9" name="TextBox 2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0" name="TextBox 2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1" name="TextBox 2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2" name="TextBox 2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3" name="TextBox 2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4" name="TextBox 2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5" name="TextBox 2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6" name="TextBox 2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7" name="TextBox 2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8" name="TextBox 2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9" name="TextBox 2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0" name="TextBox 2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1" name="TextBox 2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2" name="TextBox 2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3" name="TextBox 2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4" name="TextBox 2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5" name="TextBox 2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6" name="TextBox 2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7" name="TextBox 2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8" name="TextBox 2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9" name="TextBox 2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0" name="TextBox 2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1" name="TextBox 2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2" name="TextBox 2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3" name="TextBox 2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4" name="TextBox 2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5" name="TextBox 2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6" name="TextBox 2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7" name="TextBox 2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8" name="TextBox 2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9" name="TextBox 2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0" name="TextBox 2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1" name="TextBox 2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2" name="TextBox 2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3" name="TextBox 2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4" name="TextBox 2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5" name="TextBox 2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6" name="TextBox 2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7" name="TextBox 2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8" name="TextBox 2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09" name="TextBox 2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0" name="TextBox 2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1" name="TextBox 2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2" name="TextBox 2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3" name="TextBox 2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4" name="TextBox 2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5" name="TextBox 2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6" name="TextBox 2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7" name="TextBox 2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8" name="TextBox 2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9" name="TextBox 2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0" name="TextBox 2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1" name="TextBox 2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2" name="TextBox 2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3" name="TextBox 2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4" name="TextBox 2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5" name="TextBox 2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6" name="TextBox 2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7" name="TextBox 2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8" name="TextBox 2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9" name="TextBox 2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0" name="TextBox 2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1" name="TextBox 2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2" name="TextBox 2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3" name="TextBox 2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4" name="TextBox 2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5" name="TextBox 2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6" name="TextBox 2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7" name="TextBox 2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8" name="TextBox 2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39" name="TextBox 2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0" name="TextBox 2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1" name="TextBox 2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2" name="TextBox 2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3" name="TextBox 2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4" name="TextBox 2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5" name="TextBox 2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6" name="TextBox 2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7" name="TextBox 2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8" name="TextBox 2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9" name="TextBox 2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0" name="TextBox 2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1" name="TextBox 2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2" name="TextBox 2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3" name="TextBox 2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4" name="TextBox 2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5" name="TextBox 2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6" name="TextBox 2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7" name="TextBox 2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8" name="TextBox 2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9" name="TextBox 2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0" name="TextBox 2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1" name="TextBox 2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2" name="TextBox 2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3" name="TextBox 2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4" name="TextBox 2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5" name="TextBox 2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6" name="TextBox 2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7" name="TextBox 2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8" name="TextBox 2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9" name="TextBox 2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0" name="TextBox 2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1" name="TextBox 2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2" name="TextBox 2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3" name="TextBox 2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4" name="TextBox 2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5" name="TextBox 2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6" name="TextBox 2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7" name="TextBox 2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8" name="TextBox 2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9" name="TextBox 2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0" name="TextBox 2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1" name="TextBox 2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2" name="TextBox 2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3" name="TextBox 2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4" name="TextBox 2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5" name="TextBox 2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6" name="TextBox 2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7" name="TextBox 2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8" name="TextBox 2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9" name="TextBox 2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0" name="TextBox 2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1" name="TextBox 2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2" name="TextBox 2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3" name="TextBox 2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4" name="TextBox 2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5" name="TextBox 2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6" name="TextBox 2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7" name="TextBox 2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8" name="TextBox 2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99" name="TextBox 2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0" name="TextBox 2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1" name="TextBox 2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2" name="TextBox 2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3" name="TextBox 2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4" name="TextBox 2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5" name="TextBox 2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6" name="TextBox 2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7" name="TextBox 2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8" name="TextBox 2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9" name="TextBox 2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0" name="TextBox 2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1" name="TextBox 2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2" name="TextBox 2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3" name="TextBox 2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4" name="TextBox 2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5" name="TextBox 2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6" name="TextBox 2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7" name="TextBox 2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8" name="TextBox 2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9" name="TextBox 2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0" name="TextBox 2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1" name="TextBox 2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2" name="TextBox 2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3" name="TextBox 2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4" name="TextBox 2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5" name="TextBox 2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6" name="TextBox 2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7" name="TextBox 2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8" name="TextBox 2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29" name="TextBox 2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0" name="TextBox 2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1" name="TextBox 2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2" name="TextBox 2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3" name="TextBox 2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4" name="TextBox 2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5" name="TextBox 2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6" name="TextBox 2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7" name="TextBox 2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8" name="TextBox 2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9" name="TextBox 2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0" name="TextBox 2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1" name="TextBox 2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2" name="TextBox 2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3" name="TextBox 2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4" name="TextBox 2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5" name="TextBox 2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6" name="TextBox 2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7" name="TextBox 2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8" name="TextBox 2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9" name="TextBox 2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0" name="TextBox 2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1" name="TextBox 2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2" name="TextBox 2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3" name="TextBox 2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4" name="TextBox 2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5" name="TextBox 2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6" name="TextBox 2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7" name="TextBox 2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8" name="TextBox 2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9" name="TextBox 2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0" name="TextBox 2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1" name="TextBox 2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2" name="TextBox 2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3" name="TextBox 2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4" name="TextBox 2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5" name="TextBox 2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6" name="TextBox 2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7" name="TextBox 2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8" name="TextBox 2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9" name="TextBox 2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0" name="TextBox 2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1" name="TextBox 2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2" name="TextBox 2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3" name="TextBox 2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4" name="TextBox 2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5" name="TextBox 2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6" name="TextBox 2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7" name="TextBox 2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8" name="TextBox 2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9" name="TextBox 2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0" name="TextBox 2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1" name="TextBox 2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2" name="TextBox 2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3" name="TextBox 2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4" name="TextBox 2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5" name="TextBox 2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6" name="TextBox 2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7" name="TextBox 2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8" name="TextBox 2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9" name="TextBox 2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0" name="TextBox 2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1" name="TextBox 2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2" name="TextBox 2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3" name="TextBox 2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4" name="TextBox 2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5" name="TextBox 2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6" name="TextBox 2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7" name="TextBox 2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8" name="TextBox 2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9" name="TextBox 2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0" name="TextBox 2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1" name="TextBox 2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2" name="TextBox 2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3" name="TextBox 2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4" name="TextBox 2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5" name="TextBox 2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6" name="TextBox 2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7" name="TextBox 2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8" name="TextBox 2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9" name="TextBox 2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0" name="TextBox 2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1" name="TextBox 2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2" name="TextBox 2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3" name="TextBox 2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4" name="TextBox 2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5" name="TextBox 2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6" name="TextBox 2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7" name="TextBox 2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8" name="TextBox 2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9" name="TextBox 2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0" name="TextBox 2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1" name="TextBox 2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2" name="TextBox 2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3" name="TextBox 2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4" name="TextBox 2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5" name="TextBox 2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6" name="TextBox 2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7" name="TextBox 2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8" name="TextBox 2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9" name="TextBox 2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0" name="TextBox 2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1" name="TextBox 2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2" name="TextBox 2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3" name="TextBox 2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4" name="TextBox 2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5" name="TextBox 2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6" name="TextBox 2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7" name="TextBox 2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8" name="TextBox 2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9" name="TextBox 2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0" name="TextBox 2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1" name="TextBox 2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2" name="TextBox 2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3" name="TextBox 2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4" name="TextBox 2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5" name="TextBox 2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6" name="TextBox 2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7" name="TextBox 2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8" name="TextBox 2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9" name="TextBox 2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0" name="TextBox 2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1" name="TextBox 2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2" name="TextBox 2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3" name="TextBox 2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4" name="TextBox 2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5" name="TextBox 2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6" name="TextBox 2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7" name="TextBox 2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8" name="TextBox 2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9" name="TextBox 2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60" name="TextBox 2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1" name="TextBox 2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2" name="TextBox 2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3" name="TextBox 2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4" name="TextBox 2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5" name="TextBox 2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6" name="TextBox 2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7" name="TextBox 2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8" name="TextBox 2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9" name="TextBox 2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0" name="TextBox 2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1" name="TextBox 2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2" name="TextBox 2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3" name="TextBox 2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4" name="TextBox 2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5" name="TextBox 2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6" name="TextBox 2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7" name="TextBox 2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8" name="TextBox 2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79" name="TextBox 2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0" name="TextBox 2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1" name="TextBox 2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2" name="TextBox 2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3" name="TextBox 2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4" name="TextBox 2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5" name="TextBox 2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6" name="TextBox 2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7" name="TextBox 2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8" name="TextBox 2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9" name="TextBox 2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0" name="TextBox 2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1" name="TextBox 2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2" name="TextBox 2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3" name="TextBox 2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4" name="TextBox 2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5" name="TextBox 2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6" name="TextBox 2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7" name="TextBox 2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8" name="TextBox 2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9" name="TextBox 2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0" name="TextBox 2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1" name="TextBox 2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2" name="TextBox 2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3" name="TextBox 2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4" name="TextBox 2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5" name="TextBox 2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6" name="TextBox 2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7" name="TextBox 2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8" name="TextBox 2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9" name="TextBox 2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0" name="TextBox 2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1" name="TextBox 2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2" name="TextBox 2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3" name="TextBox 2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4" name="TextBox 2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5" name="TextBox 2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6" name="TextBox 2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7" name="TextBox 2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8" name="TextBox 2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9" name="TextBox 2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20" name="TextBox 2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1" name="TextBox 2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2" name="TextBox 2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3" name="TextBox 2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4" name="TextBox 2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5" name="TextBox 2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6" name="TextBox 2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7" name="TextBox 2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8" name="TextBox 2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9" name="TextBox 2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0" name="TextBox 2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1" name="TextBox 2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2" name="TextBox 2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3" name="TextBox 2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4" name="TextBox 2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5" name="TextBox 2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6" name="TextBox 2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7" name="TextBox 2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8" name="TextBox 2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9" name="TextBox 2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0" name="TextBox 2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1" name="TextBox 2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2" name="TextBox 2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3" name="TextBox 2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4" name="TextBox 2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5" name="TextBox 2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6" name="TextBox 2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7" name="TextBox 2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8" name="TextBox 2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9" name="TextBox 2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50" name="TextBox 2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1" name="TextBox 2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2" name="TextBox 2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3" name="TextBox 2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4" name="TextBox 2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5" name="TextBox 2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6" name="TextBox 2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7" name="TextBox 2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8" name="TextBox 2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9" name="TextBox 2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0" name="TextBox 2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1" name="TextBox 2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2" name="TextBox 2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3" name="TextBox 2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4" name="TextBox 2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5" name="TextBox 2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6" name="TextBox 2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7" name="TextBox 2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8" name="TextBox 2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69" name="TextBox 2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0" name="TextBox 2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1" name="TextBox 2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2" name="TextBox 2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3" name="TextBox 2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4" name="TextBox 2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5" name="TextBox 2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6" name="TextBox 2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7" name="TextBox 2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8" name="TextBox 2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9" name="TextBox 2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0" name="TextBox 2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1" name="TextBox 2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2" name="TextBox 2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3" name="TextBox 2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4" name="TextBox 2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5" name="TextBox 2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6" name="TextBox 2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7" name="TextBox 2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8" name="TextBox 2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9" name="TextBox 2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0" name="TextBox 2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1" name="TextBox 2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2" name="TextBox 2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3" name="TextBox 2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4" name="TextBox 2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5" name="TextBox 2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6" name="TextBox 2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7" name="TextBox 2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8" name="TextBox 2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9" name="TextBox 2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0" name="TextBox 2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1" name="TextBox 2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2" name="TextBox 2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3" name="TextBox 2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4" name="TextBox 2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5" name="TextBox 2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6" name="TextBox 2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7" name="TextBox 2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8" name="TextBox 2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9" name="TextBox 2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10" name="TextBox 2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1" name="TextBox 2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2" name="TextBox 2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3" name="TextBox 2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4" name="TextBox 2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5" name="TextBox 2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6" name="TextBox 2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7" name="TextBox 2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8" name="TextBox 2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9" name="TextBox 2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0" name="TextBox 2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1" name="TextBox 2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2" name="TextBox 2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3" name="TextBox 2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4" name="TextBox 2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5" name="TextBox 2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6" name="TextBox 2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7" name="TextBox 2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8" name="TextBox 2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9" name="TextBox 2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0" name="TextBox 2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1" name="TextBox 2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2" name="TextBox 2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3" name="TextBox 2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4" name="TextBox 2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5" name="TextBox 2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6" name="TextBox 2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7" name="TextBox 2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8" name="TextBox 2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9" name="TextBox 2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40" name="TextBox 2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1" name="TextBox 2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2" name="TextBox 2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3" name="TextBox 2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4" name="TextBox 2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5" name="TextBox 2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6" name="TextBox 2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7" name="TextBox 2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8" name="TextBox 2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9" name="TextBox 2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0" name="TextBox 2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1" name="TextBox 2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2" name="TextBox 2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3" name="TextBox 2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4" name="TextBox 2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5" name="TextBox 2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6" name="TextBox 2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7" name="TextBox 2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8" name="TextBox 2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9" name="TextBox 2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0" name="TextBox 2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1" name="TextBox 2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2" name="TextBox 2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3" name="TextBox 2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4" name="TextBox 2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5" name="TextBox 2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6" name="TextBox 2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7" name="TextBox 2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8" name="TextBox 2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9" name="TextBox 2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0" name="TextBox 2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1" name="TextBox 2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2" name="TextBox 2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3" name="TextBox 2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4" name="TextBox 2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5" name="TextBox 2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6" name="TextBox 2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7" name="TextBox 2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8" name="TextBox 2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9" name="TextBox 2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0" name="TextBox 2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1" name="TextBox 2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2" name="TextBox 2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3" name="TextBox 2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4" name="TextBox 2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5" name="TextBox 2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6" name="TextBox 2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7" name="TextBox 2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8" name="TextBox 2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89" name="TextBox 2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0" name="TextBox 2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1" name="TextBox 2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2" name="TextBox 2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3" name="TextBox 2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4" name="TextBox 2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5" name="TextBox 2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6" name="TextBox 2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7" name="TextBox 2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8" name="TextBox 2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9" name="TextBox 2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00" name="TextBox 2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1" name="TextBox 2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2" name="TextBox 2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3" name="TextBox 2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4" name="TextBox 2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5" name="TextBox 2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6" name="TextBox 2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7" name="TextBox 2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8" name="TextBox 2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9" name="TextBox 2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0" name="TextBox 2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1" name="TextBox 2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2" name="TextBox 2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3" name="TextBox 2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4" name="TextBox 2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5" name="TextBox 2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6" name="TextBox 2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7" name="TextBox 2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8" name="TextBox 2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9" name="TextBox 2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0" name="TextBox 2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1" name="TextBox 2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2" name="TextBox 2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3" name="TextBox 2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4" name="TextBox 2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5" name="TextBox 2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6" name="TextBox 2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7" name="TextBox 2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8" name="TextBox 2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9" name="TextBox 2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0" name="TextBox 2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1" name="TextBox 2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2" name="TextBox 2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3" name="TextBox 2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4" name="TextBox 2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5" name="TextBox 2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6" name="TextBox 2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7" name="TextBox 2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8" name="TextBox 2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9" name="TextBox 2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0" name="TextBox 2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1" name="TextBox 2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2" name="TextBox 2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3" name="TextBox 2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4" name="TextBox 2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5" name="TextBox 2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6" name="TextBox 2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7" name="TextBox 2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8" name="TextBox 2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9" name="TextBox 2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0" name="TextBox 2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1" name="TextBox 2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2" name="TextBox 2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3" name="TextBox 2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4" name="TextBox 2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5" name="TextBox 2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6" name="TextBox 2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7" name="TextBox 2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8" name="TextBox 2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9" name="TextBox 2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0" name="TextBox 2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1" name="TextBox 2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2" name="TextBox 2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3" name="TextBox 2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4" name="TextBox 2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5" name="TextBox 2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6" name="TextBox 2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7" name="TextBox 2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8" name="TextBox 2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9" name="TextBox 2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0" name="TextBox 2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1" name="TextBox 2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2" name="TextBox 2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3" name="TextBox 2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4" name="TextBox 2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5" name="TextBox 2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6" name="TextBox 2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7" name="TextBox 2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8" name="TextBox 2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9" name="TextBox 2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0" name="TextBox 2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1" name="TextBox 2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2" name="TextBox 2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3" name="TextBox 2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4" name="TextBox 2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5" name="TextBox 2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6" name="TextBox 2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7" name="TextBox 2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8" name="TextBox 2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9" name="TextBox 2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0" name="TextBox 2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1" name="TextBox 2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2" name="TextBox 2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3" name="TextBox 2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4" name="TextBox 2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5" name="TextBox 2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6" name="TextBox 2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7" name="TextBox 2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8" name="TextBox 2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9" name="TextBox 2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0" name="TextBox 2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1" name="TextBox 2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2" name="TextBox 2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3" name="TextBox 2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4" name="TextBox 2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5" name="TextBox 2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6" name="TextBox 2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7" name="TextBox 2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8" name="TextBox 2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9" name="TextBox 2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0" name="TextBox 2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1" name="TextBox 2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2" name="TextBox 2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3" name="TextBox 2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4" name="TextBox 2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5" name="TextBox 2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6" name="TextBox 2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7" name="TextBox 2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8" name="TextBox 2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9" name="TextBox 2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0" name="TextBox 2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1" name="TextBox 2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2" name="TextBox 2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3" name="TextBox 2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4" name="TextBox 2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5" name="TextBox 2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6" name="TextBox 2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7" name="TextBox 2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8" name="TextBox 2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9" name="TextBox 2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0" name="TextBox 2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1" name="TextBox 2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2" name="TextBox 2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3" name="TextBox 2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4" name="TextBox 2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5" name="TextBox 2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6" name="TextBox 2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7" name="TextBox 2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8" name="TextBox 2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39" name="TextBox 2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0" name="TextBox 2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1" name="TextBox 2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2" name="TextBox 2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3" name="TextBox 2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4" name="TextBox 2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5" name="TextBox 2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6" name="TextBox 2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7" name="TextBox 2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8" name="TextBox 2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9" name="TextBox 2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0" name="TextBox 2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1" name="TextBox 2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2" name="TextBox 2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3" name="TextBox 2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4" name="TextBox 2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5" name="TextBox 2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6" name="TextBox 2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7" name="TextBox 2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8" name="TextBox 2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9" name="TextBox 2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0" name="TextBox 2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1" name="TextBox 2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2" name="TextBox 2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3" name="TextBox 2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4" name="TextBox 2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5" name="TextBox 2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6" name="TextBox 2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7" name="TextBox 2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8" name="TextBox 2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9" name="TextBox 2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0" name="TextBox 2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1" name="TextBox 2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2" name="TextBox 2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3" name="TextBox 2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4" name="TextBox 2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5" name="TextBox 2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6" name="TextBox 2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7" name="TextBox 2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8" name="TextBox 2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9" name="TextBox 2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0" name="TextBox 2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1" name="TextBox 2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2" name="TextBox 2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3" name="TextBox 2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4" name="TextBox 2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5" name="TextBox 2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6" name="TextBox 2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7" name="TextBox 2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8" name="TextBox 2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9" name="TextBox 2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0" name="TextBox 2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1" name="TextBox 2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2" name="TextBox 2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3" name="TextBox 2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4" name="TextBox 2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5" name="TextBox 2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6" name="TextBox 2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7" name="TextBox 2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8" name="TextBox 2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599" name="TextBox 2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0" name="TextBox 2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1" name="TextBox 2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2" name="TextBox 2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3" name="TextBox 2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4" name="TextBox 2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5" name="TextBox 2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6" name="TextBox 2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7" name="TextBox 2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8" name="TextBox 2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9" name="TextBox 2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10" name="TextBox 2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1" name="TextBox 2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2" name="TextBox 2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3" name="TextBox 2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4" name="TextBox 2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5" name="TextBox 2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6" name="TextBox 2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7" name="TextBox 2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8" name="TextBox 2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9" name="TextBox 2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0" name="TextBox 2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1" name="TextBox 2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2" name="TextBox 2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3" name="TextBox 2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4" name="TextBox 2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5" name="TextBox 2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6" name="TextBox 2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7" name="TextBox 2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8" name="TextBox 2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9" name="TextBox 2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0" name="TextBox 2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1" name="TextBox 2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2" name="TextBox 2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3" name="TextBox 2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4" name="TextBox 2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5" name="TextBox 2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6" name="TextBox 2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7" name="TextBox 2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8" name="TextBox 2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9" name="TextBox 2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0" name="TextBox 2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1" name="TextBox 2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2" name="TextBox 2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3" name="TextBox 2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4" name="TextBox 2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5" name="TextBox 2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6" name="TextBox 2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7" name="TextBox 2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8" name="TextBox 2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9" name="TextBox 2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0" name="TextBox 2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1" name="TextBox 2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2" name="TextBox 2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3" name="TextBox 2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4" name="TextBox 2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5" name="TextBox 2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6" name="TextBox 2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7" name="TextBox 2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8" name="TextBox 2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9" name="TextBox 2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0" name="TextBox 2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1" name="TextBox 2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2" name="TextBox 2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3" name="TextBox 2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4" name="TextBox 2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5" name="TextBox 2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6" name="TextBox 2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7" name="TextBox 2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8" name="TextBox 2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9" name="TextBox 2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0" name="TextBox 2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1" name="TextBox 2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2" name="TextBox 2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3" name="TextBox 2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4" name="TextBox 2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5" name="TextBox 2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6" name="TextBox 2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7" name="TextBox 2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8" name="TextBox 2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9" name="TextBox 2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0" name="TextBox 2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1" name="TextBox 2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2" name="TextBox 2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3" name="TextBox 2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4" name="TextBox 2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5" name="TextBox 2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6" name="TextBox 2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7" name="TextBox 2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8" name="TextBox 2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89" name="TextBox 2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0" name="TextBox 2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1" name="TextBox 2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2" name="TextBox 2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3" name="TextBox 2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4" name="TextBox 2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5" name="TextBox 2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6" name="TextBox 2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7" name="TextBox 2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8" name="TextBox 2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9" name="TextBox 2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00" name="TextBox 2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1" name="TextBox 2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2" name="TextBox 2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3" name="TextBox 2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4" name="TextBox 2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5" name="TextBox 2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6" name="TextBox 2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7" name="TextBox 2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8" name="TextBox 2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9" name="TextBox 2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0" name="TextBox 2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1" name="TextBox 2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2" name="TextBox 2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3" name="TextBox 2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4" name="TextBox 2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5" name="TextBox 2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6" name="TextBox 2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7" name="TextBox 2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8" name="TextBox 2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9" name="TextBox 2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0" name="TextBox 2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1" name="TextBox 2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2" name="TextBox 2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3" name="TextBox 2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4" name="TextBox 2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5" name="TextBox 2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6" name="TextBox 2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7" name="TextBox 2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8" name="TextBox 2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9" name="TextBox 2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0" name="TextBox 2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1" name="TextBox 2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2" name="TextBox 2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3" name="TextBox 2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4" name="TextBox 2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5" name="TextBox 2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6" name="TextBox 2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7" name="TextBox 2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8" name="TextBox 2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9" name="TextBox 2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0" name="TextBox 2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1" name="TextBox 2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2" name="TextBox 2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3" name="TextBox 2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4" name="TextBox 2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5" name="TextBox 2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6" name="TextBox 2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7" name="TextBox 2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8" name="TextBox 2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9" name="TextBox 2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0" name="TextBox 2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1" name="TextBox 2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2" name="TextBox 2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3" name="TextBox 2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4" name="TextBox 2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5" name="TextBox 2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6" name="TextBox 2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7" name="TextBox 2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8" name="TextBox 2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9" name="TextBox 2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0" name="TextBox 2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1" name="TextBox 2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2" name="TextBox 2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3" name="TextBox 2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4" name="TextBox 2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5" name="TextBox 2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6" name="TextBox 2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7" name="TextBox 2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8" name="TextBox 2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9" name="TextBox 2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0" name="TextBox 2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1" name="TextBox 2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2" name="TextBox 2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3" name="TextBox 2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4" name="TextBox 2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5" name="TextBox 2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6" name="TextBox 2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7" name="TextBox 2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8" name="TextBox 2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9" name="TextBox 2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0" name="TextBox 2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1" name="TextBox 2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2" name="TextBox 2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3" name="TextBox 2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4" name="TextBox 2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5" name="TextBox 2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6" name="TextBox 2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7" name="TextBox 2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8" name="TextBox 2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9" name="TextBox 2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0" name="TextBox 2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1" name="TextBox 2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2" name="TextBox 2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3" name="TextBox 2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4" name="TextBox 2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5" name="TextBox 2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6" name="TextBox 2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7" name="TextBox 2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8" name="TextBox 2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9" name="TextBox 2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0" name="TextBox 2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1" name="TextBox 2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2" name="TextBox 2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3" name="TextBox 2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4" name="TextBox 2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5" name="TextBox 2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6" name="TextBox 2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7" name="TextBox 2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8" name="TextBox 2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09" name="TextBox 2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0" name="TextBox 2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1" name="TextBox 2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2" name="TextBox 2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3" name="TextBox 2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4" name="TextBox 2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5" name="TextBox 2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6" name="TextBox 2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7" name="TextBox 2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8" name="TextBox 2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9" name="TextBox 2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20" name="TextBox 2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1" name="TextBox 2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2" name="TextBox 2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3" name="TextBox 2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4" name="TextBox 2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5" name="TextBox 2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6" name="TextBox 2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7" name="TextBox 2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8" name="TextBox 2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9" name="TextBox 2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0" name="TextBox 2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1" name="TextBox 2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2" name="TextBox 2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3" name="TextBox 2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4" name="TextBox 2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5" name="TextBox 2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6" name="TextBox 2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7" name="TextBox 2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8" name="TextBox 2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9" name="TextBox 2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0" name="TextBox 2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1" name="TextBox 2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2" name="TextBox 2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3" name="TextBox 2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4" name="TextBox 2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5" name="TextBox 2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6" name="TextBox 2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7" name="TextBox 2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8" name="TextBox 2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9" name="TextBox 2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50" name="TextBox 2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1" name="TextBox 2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2" name="TextBox 2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3" name="TextBox 2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4" name="TextBox 2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5" name="TextBox 2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6" name="TextBox 2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7" name="TextBox 2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8" name="TextBox 2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9" name="TextBox 2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0" name="TextBox 2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1" name="TextBox 2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2" name="TextBox 2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3" name="TextBox 2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4" name="TextBox 2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5" name="TextBox 2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6" name="TextBox 2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7" name="TextBox 2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8" name="TextBox 2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69" name="TextBox 2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0" name="TextBox 2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1" name="TextBox 2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2" name="TextBox 2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3" name="TextBox 2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4" name="TextBox 2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5" name="TextBox 2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6" name="TextBox 2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7" name="TextBox 2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8" name="TextBox 2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9" name="TextBox 2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0" name="TextBox 2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1" name="TextBox 2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2" name="TextBox 2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3" name="TextBox 2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4" name="TextBox 2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5" name="TextBox 2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6" name="TextBox 2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7" name="TextBox 2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8" name="TextBox 2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9" name="TextBox 2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0" name="TextBox 2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1" name="TextBox 2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2" name="TextBox 2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3" name="TextBox 2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4" name="TextBox 2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5" name="TextBox 2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6" name="TextBox 2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7" name="TextBox 2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8" name="TextBox 2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99" name="TextBox 2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0" name="TextBox 2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1" name="TextBox 2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2" name="TextBox 2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3" name="TextBox 2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4" name="TextBox 2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5" name="TextBox 2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6" name="TextBox 2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7" name="TextBox 2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8" name="TextBox 2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9" name="TextBox 2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0" name="TextBox 2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1" name="TextBox 2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2" name="TextBox 2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3" name="TextBox 2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4" name="TextBox 2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5" name="TextBox 2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6" name="TextBox 2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7" name="TextBox 2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8" name="TextBox 2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9" name="TextBox 2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0" name="TextBox 2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1" name="TextBox 2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2" name="TextBox 2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3" name="TextBox 2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4" name="TextBox 2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5" name="TextBox 2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6" name="TextBox 2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7" name="TextBox 2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8" name="TextBox 2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9" name="TextBox 2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0" name="TextBox 2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1" name="TextBox 2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2" name="TextBox 2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3" name="TextBox 2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4" name="TextBox 2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5" name="TextBox 2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6" name="TextBox 2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7" name="TextBox 2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8" name="TextBox 2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9" name="TextBox 2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40" name="TextBox 2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1" name="TextBox 2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2" name="TextBox 2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3" name="TextBox 2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4" name="TextBox 2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5" name="TextBox 2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6" name="TextBox 2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7" name="TextBox 2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8" name="TextBox 2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9" name="TextBox 2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0" name="TextBox 2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1" name="TextBox 2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2" name="TextBox 2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3" name="TextBox 2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4" name="TextBox 2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5" name="TextBox 2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6" name="TextBox 2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7" name="TextBox 2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8" name="TextBox 2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9" name="TextBox 2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0" name="TextBox 2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1" name="TextBox 2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2" name="TextBox 2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3" name="TextBox 2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4" name="TextBox 2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5" name="TextBox 2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6" name="TextBox 2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7" name="TextBox 2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8" name="TextBox 2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9" name="TextBox 2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0" name="TextBox 2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1" name="TextBox 2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2" name="TextBox 2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3" name="TextBox 2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4" name="TextBox 2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5" name="TextBox 2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6" name="TextBox 2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7" name="TextBox 2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8" name="TextBox 2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9" name="TextBox 2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0" name="TextBox 2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1" name="TextBox 2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2" name="TextBox 2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3" name="TextBox 2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4" name="TextBox 2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5" name="TextBox 2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6" name="TextBox 2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7" name="TextBox 2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8" name="TextBox 2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9" name="TextBox 2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0" name="TextBox 2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1" name="TextBox 2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2" name="TextBox 2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3" name="TextBox 2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4" name="TextBox 2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5" name="TextBox 2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6" name="TextBox 2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7" name="TextBox 2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8" name="TextBox 2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9" name="TextBox 2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0" name="TextBox 2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1" name="TextBox 2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2" name="TextBox 2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3" name="TextBox 2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4" name="TextBox 2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5" name="TextBox 2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6" name="TextBox 2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7" name="TextBox 2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8" name="TextBox 2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9" name="TextBox 2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0" name="TextBox 2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1" name="TextBox 2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2" name="TextBox 2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3" name="TextBox 2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4" name="TextBox 2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5" name="TextBox 2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6" name="TextBox 2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7" name="TextBox 2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8" name="TextBox 2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19" name="TextBox 2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0" name="TextBox 2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1" name="TextBox 2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2" name="TextBox 2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3" name="TextBox 2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4" name="TextBox 2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5" name="TextBox 2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6" name="TextBox 2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7" name="TextBox 2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8" name="TextBox 2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9" name="TextBox 2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0" name="TextBox 2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1" name="TextBox 2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2" name="TextBox 2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3" name="TextBox 2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4" name="TextBox 2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5" name="TextBox 2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6" name="TextBox 2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7" name="TextBox 2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8" name="TextBox 2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9" name="TextBox 2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0" name="TextBox 2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1" name="TextBox 2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2" name="TextBox 2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3" name="TextBox 2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4" name="TextBox 2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5" name="TextBox 2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6" name="TextBox 2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7" name="TextBox 2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8" name="TextBox 2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9" name="TextBox 2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0" name="TextBox 2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1" name="TextBox 2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2" name="TextBox 2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3" name="TextBox 2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4" name="TextBox 2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5" name="TextBox 2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6" name="TextBox 2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7" name="TextBox 2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8" name="TextBox 2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9" name="TextBox 2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0" name="TextBox 2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1" name="TextBox 2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2" name="TextBox 2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3" name="TextBox 2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4" name="TextBox 2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5" name="TextBox 2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6" name="TextBox 2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7" name="TextBox 2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8" name="TextBox 2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9" name="TextBox 2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0" name="TextBox 2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1" name="TextBox 2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2" name="TextBox 2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3" name="TextBox 2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4" name="TextBox 2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5" name="TextBox 2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6" name="TextBox 2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7" name="TextBox 2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8" name="TextBox 2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9" name="TextBox 2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0" name="TextBox 2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1" name="TextBox 2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2" name="TextBox 2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3" name="TextBox 2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4" name="TextBox 2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5" name="TextBox 2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6" name="TextBox 2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7" name="TextBox 2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8" name="TextBox 2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9" name="TextBox 2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0" name="TextBox 2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1" name="TextBox 2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2" name="TextBox 2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3" name="TextBox 2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4" name="TextBox 2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5" name="TextBox 2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6" name="TextBox 2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7" name="TextBox 2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8" name="TextBox 2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9" name="TextBox 2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0" name="TextBox 2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1" name="TextBox 2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2" name="TextBox 2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3" name="TextBox 2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4" name="TextBox 2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5" name="TextBox 2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6" name="TextBox 2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7" name="TextBox 2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8" name="TextBox 2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09" name="TextBox 2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0" name="TextBox 2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1" name="TextBox 2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2" name="TextBox 2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3" name="TextBox 2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4" name="TextBox 2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5" name="TextBox 2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6" name="TextBox 2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7" name="TextBox 2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8" name="TextBox 2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9" name="TextBox 2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0" name="TextBox 2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1" name="TextBox 2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2" name="TextBox 2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3" name="TextBox 2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4" name="TextBox 2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5" name="TextBox 2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6" name="TextBox 2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7" name="TextBox 2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8" name="TextBox 2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9" name="TextBox 2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0" name="TextBox 2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1" name="TextBox 2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2" name="TextBox 2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3" name="TextBox 2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4" name="TextBox 2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5" name="TextBox 2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6" name="TextBox 2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7" name="TextBox 2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8" name="TextBox 2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9" name="TextBox 2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0" name="TextBox 2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1" name="TextBox 2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2" name="TextBox 2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3" name="TextBox 2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4" name="TextBox 2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5" name="TextBox 2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6" name="TextBox 2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7" name="TextBox 2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8" name="TextBox 2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9" name="TextBox 2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0" name="TextBox 2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1" name="TextBox 2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2" name="TextBox 2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3" name="TextBox 2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4" name="TextBox 2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5" name="TextBox 2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6" name="TextBox 2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7" name="TextBox 2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8" name="TextBox 2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9" name="TextBox 2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0" name="TextBox 2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1" name="TextBox 2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2" name="TextBox 2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3" name="TextBox 2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4" name="TextBox 2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5" name="TextBox 2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6" name="TextBox 2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7" name="TextBox 2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8" name="TextBox 2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9" name="TextBox 2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0" name="TextBox 2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1" name="TextBox 2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2" name="TextBox 2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3" name="TextBox 2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4" name="TextBox 2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5" name="TextBox 2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6" name="TextBox 2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7" name="TextBox 2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8" name="TextBox 2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9" name="TextBox 2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0" name="TextBox 2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1" name="TextBox 2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2" name="TextBox 2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3" name="TextBox 2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4" name="TextBox 2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5" name="TextBox 2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6" name="TextBox 2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7" name="TextBox 2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8" name="TextBox 2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9" name="TextBox 2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0" name="TextBox 2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1" name="TextBox 2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2" name="TextBox 2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3" name="TextBox 2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4" name="TextBox 2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5" name="TextBox 2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6" name="TextBox 2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7" name="TextBox 2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8" name="TextBox 2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9" name="TextBox 2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0" name="TextBox 2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1" name="TextBox 2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2" name="TextBox 2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3" name="TextBox 2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4" name="TextBox 2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5" name="TextBox 2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6" name="TextBox 2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7" name="TextBox 2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8" name="TextBox 2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9" name="TextBox 2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0" name="TextBox 2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1" name="TextBox 2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2" name="TextBox 2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3" name="TextBox 2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4" name="TextBox 2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5" name="TextBox 2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6" name="TextBox 2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7" name="TextBox 2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8" name="TextBox 2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9" name="TextBox 2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0" name="TextBox 2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1" name="TextBox 2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2" name="TextBox 2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3" name="TextBox 2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4" name="TextBox 2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5" name="TextBox 2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6" name="TextBox 2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7" name="TextBox 2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8" name="TextBox 2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9" name="TextBox 2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0" name="TextBox 2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1" name="TextBox 2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2" name="TextBox 2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3" name="TextBox 2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4" name="TextBox 2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5" name="TextBox 2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6" name="TextBox 2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7" name="TextBox 2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8" name="TextBox 2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9" name="TextBox 2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0" name="TextBox 2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1" name="TextBox 2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2" name="TextBox 2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3" name="TextBox 2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4" name="TextBox 2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5" name="TextBox 2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6" name="TextBox 2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7" name="TextBox 2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8" name="TextBox 2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9" name="TextBox 2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0" name="TextBox 2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1" name="TextBox 2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2" name="TextBox 2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3" name="TextBox 2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4" name="TextBox 2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5" name="TextBox 2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6" name="TextBox 2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7" name="TextBox 2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8" name="TextBox 2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59" name="TextBox 2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0" name="TextBox 2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1" name="TextBox 2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2" name="TextBox 2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3" name="TextBox 2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4" name="TextBox 2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5" name="TextBox 2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6" name="TextBox 2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7" name="TextBox 2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8" name="TextBox 2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9" name="TextBox 2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70" name="TextBox 2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1" name="TextBox 2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2" name="TextBox 2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3" name="TextBox 2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4" name="TextBox 2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5" name="TextBox 2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6" name="TextBox 2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7" name="TextBox 2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8" name="TextBox 2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9" name="TextBox 2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0" name="TextBox 2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1" name="TextBox 2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2" name="TextBox 2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3" name="TextBox 2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4" name="TextBox 2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5" name="TextBox 2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6" name="TextBox 2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7" name="TextBox 2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8" name="TextBox 2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9" name="TextBox 2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0" name="TextBox 2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1" name="TextBox 2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2" name="TextBox 2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3" name="TextBox 2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4" name="TextBox 2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5" name="TextBox 2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6" name="TextBox 2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7" name="TextBox 2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8" name="TextBox 2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9" name="TextBox 2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0" name="TextBox 2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1" name="TextBox 2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2" name="TextBox 2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3" name="TextBox 2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4" name="TextBox 2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5" name="TextBox 2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6" name="TextBox 2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7" name="TextBox 2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8" name="TextBox 2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9" name="TextBox 2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0" name="TextBox 2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1" name="TextBox 2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2" name="TextBox 2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3" name="TextBox 2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4" name="TextBox 2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5" name="TextBox 2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6" name="TextBox 2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7" name="TextBox 2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8" name="TextBox 2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9" name="TextBox 2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0" name="TextBox 2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1" name="TextBox 2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2" name="TextBox 2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3" name="TextBox 2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4" name="TextBox 2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5" name="TextBox 2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6" name="TextBox 2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7" name="TextBox 2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8" name="TextBox 2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9" name="TextBox 2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0" name="TextBox 2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1" name="TextBox 2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2" name="TextBox 2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3" name="TextBox 2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4" name="TextBox 2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5" name="TextBox 2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6" name="TextBox 2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7" name="TextBox 2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8" name="TextBox 2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9" name="TextBox 2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0" name="TextBox 2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1" name="TextBox 2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2" name="TextBox 2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3" name="TextBox 2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4" name="TextBox 2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5" name="TextBox 2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6" name="TextBox 2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7" name="TextBox 2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8" name="TextBox 2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49" name="TextBox 2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0" name="TextBox 2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1" name="TextBox 2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2" name="TextBox 2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3" name="TextBox 2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4" name="TextBox 2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5" name="TextBox 2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6" name="TextBox 2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7" name="TextBox 2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8" name="TextBox 2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9" name="TextBox 2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60" name="TextBox 2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1" name="TextBox 2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2" name="TextBox 2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3" name="TextBox 2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4" name="TextBox 2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5" name="TextBox 2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6" name="TextBox 2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7" name="TextBox 2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8" name="TextBox 2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9" name="TextBox 2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0" name="TextBox 2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1" name="TextBox 2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2" name="TextBox 2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3" name="TextBox 2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4" name="TextBox 2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5" name="TextBox 2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6" name="TextBox 2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7" name="TextBox 2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8" name="TextBox 2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9" name="TextBox 2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0" name="TextBox 2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1" name="TextBox 2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2" name="TextBox 2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3" name="TextBox 2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4" name="TextBox 2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5" name="TextBox 2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6" name="TextBox 2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7" name="TextBox 2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8" name="TextBox 2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9" name="TextBox 2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0" name="TextBox 2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1" name="TextBox 2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2" name="TextBox 2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3" name="TextBox 2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4" name="TextBox 2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5" name="TextBox 2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6" name="TextBox 2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7" name="TextBox 2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8" name="TextBox 2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9" name="TextBox 2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0" name="TextBox 2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1" name="TextBox 2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2" name="TextBox 2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3" name="TextBox 2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4" name="TextBox 2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5" name="TextBox 2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6" name="TextBox 2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7" name="TextBox 2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8" name="TextBox 2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9" name="TextBox 2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0" name="TextBox 2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1" name="TextBox 2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2" name="TextBox 2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3" name="TextBox 2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4" name="TextBox 2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5" name="TextBox 2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6" name="TextBox 2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7" name="TextBox 2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8" name="TextBox 2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9" name="TextBox 2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0" name="TextBox 2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1" name="TextBox 2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2" name="TextBox 2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3" name="TextBox 2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4" name="TextBox 2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5" name="TextBox 2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6" name="TextBox 2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7" name="TextBox 2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8" name="TextBox 2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9" name="TextBox 2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0" name="TextBox 2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1" name="TextBox 2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2" name="TextBox 2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3" name="TextBox 2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4" name="TextBox 2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5" name="TextBox 2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6" name="TextBox 2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7" name="TextBox 2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8" name="TextBox 2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39" name="TextBox 2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0" name="TextBox 2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1" name="TextBox 2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2" name="TextBox 2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3" name="TextBox 2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4" name="TextBox 2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5" name="TextBox 2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6" name="TextBox 2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7" name="TextBox 2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8" name="TextBox 2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9" name="TextBox 2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50" name="TextBox 2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1" name="TextBox 2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2" name="TextBox 2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3" name="TextBox 2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4" name="TextBox 2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5" name="TextBox 2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6" name="TextBox 2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7" name="TextBox 2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8" name="TextBox 2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9" name="TextBox 2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0" name="TextBox 2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1" name="TextBox 2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2" name="TextBox 2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3" name="TextBox 2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4" name="TextBox 2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5" name="TextBox 2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6" name="TextBox 2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7" name="TextBox 2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8" name="TextBox 2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9" name="TextBox 2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0" name="TextBox 2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1" name="TextBox 2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2" name="TextBox 2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3" name="TextBox 2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4" name="TextBox 2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5" name="TextBox 2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6" name="TextBox 2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7" name="TextBox 2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8" name="TextBox 2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9" name="TextBox 2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0" name="TextBox 2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1" name="TextBox 2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2" name="TextBox 2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3" name="TextBox 2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4" name="TextBox 2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5" name="TextBox 2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6" name="TextBox 2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7" name="TextBox 2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8" name="TextBox 2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9" name="TextBox 2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0" name="TextBox 2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1" name="TextBox 2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2" name="TextBox 2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3" name="TextBox 2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4" name="TextBox 2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5" name="TextBox 2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6" name="TextBox 2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7" name="TextBox 2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8" name="TextBox 2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9" name="TextBox 2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0" name="TextBox 2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1" name="TextBox 2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2" name="TextBox 2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3" name="TextBox 2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4" name="TextBox 2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5" name="TextBox 2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6" name="TextBox 2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7" name="TextBox 2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8" name="TextBox 2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9" name="TextBox 2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0" name="TextBox 2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1" name="TextBox 2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2" name="TextBox 2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3" name="TextBox 2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4" name="TextBox 2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5" name="TextBox 2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6" name="TextBox 2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7" name="TextBox 2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8" name="TextBox 2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9" name="TextBox 2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0" name="TextBox 2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1" name="TextBox 2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2" name="TextBox 2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3" name="TextBox 2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4" name="TextBox 2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5" name="TextBox 2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6" name="TextBox 2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7" name="TextBox 2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8" name="TextBox 2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9" name="TextBox 2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0" name="TextBox 2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1" name="TextBox 2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2" name="TextBox 2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3" name="TextBox 2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4" name="TextBox 2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5" name="TextBox 2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6" name="TextBox 2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7" name="TextBox 2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8" name="TextBox 2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9" name="TextBox 2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0" name="TextBox 2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1" name="TextBox 2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2" name="TextBox 2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3" name="TextBox 2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4" name="TextBox 2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5" name="TextBox 2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6" name="TextBox 2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7" name="TextBox 2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8" name="TextBox 2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9" name="TextBox 2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0" name="TextBox 2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1" name="TextBox 2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2" name="TextBox 2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3" name="TextBox 2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4" name="TextBox 2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5" name="TextBox 2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6" name="TextBox 2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7" name="TextBox 2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8" name="TextBox 2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9" name="TextBox 2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0" name="TextBox 2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1" name="TextBox 2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2" name="TextBox 2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3" name="TextBox 2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4" name="TextBox 2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5" name="TextBox 2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6" name="TextBox 2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7" name="TextBox 2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8" name="TextBox 2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9" name="TextBox 2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0" name="TextBox 2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1" name="TextBox 2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2" name="TextBox 2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3" name="TextBox 2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4" name="TextBox 2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5" name="TextBox 2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6" name="TextBox 2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7" name="TextBox 2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8" name="TextBox 2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9" name="TextBox 2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0" name="TextBox 2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1" name="TextBox 2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2" name="TextBox 2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3" name="TextBox 2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4" name="TextBox 2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5" name="TextBox 2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6" name="TextBox 2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7" name="TextBox 2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8" name="TextBox 2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89" name="TextBox 2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0" name="TextBox 2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1" name="TextBox 2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2" name="TextBox 2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3" name="TextBox 2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4" name="TextBox 2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5" name="TextBox 2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6" name="TextBox 2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7" name="TextBox 2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8" name="TextBox 2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9" name="TextBox 2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00" name="TextBox 2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1" name="TextBox 2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2" name="TextBox 2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3" name="TextBox 2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4" name="TextBox 2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5" name="TextBox 2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6" name="TextBox 2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7" name="TextBox 2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8" name="TextBox 2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9" name="TextBox 2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0" name="TextBox 2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1" name="TextBox 2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2" name="TextBox 2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3" name="TextBox 2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4" name="TextBox 2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5" name="TextBox 2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6" name="TextBox 2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7" name="TextBox 2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8" name="TextBox 2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9" name="TextBox 2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0" name="TextBox 2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1" name="TextBox 2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2" name="TextBox 2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3" name="TextBox 2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4" name="TextBox 2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5" name="TextBox 2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6" name="TextBox 2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7" name="TextBox 2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8" name="TextBox 2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9" name="TextBox 2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30" name="TextBox 2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1" name="TextBox 2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2" name="TextBox 2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3" name="TextBox 2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4" name="TextBox 2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5" name="TextBox 2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6" name="TextBox 2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7" name="TextBox 2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8" name="TextBox 2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9" name="TextBox 2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0" name="TextBox 2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1" name="TextBox 2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2" name="TextBox 2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3" name="TextBox 2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4" name="TextBox 2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5" name="TextBox 2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6" name="TextBox 2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7" name="TextBox 2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8" name="TextBox 2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49" name="TextBox 2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0" name="TextBox 2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1" name="TextBox 2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2" name="TextBox 2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3" name="TextBox 2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4" name="TextBox 2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5" name="TextBox 2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6" name="TextBox 2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7" name="TextBox 2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8" name="TextBox 2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9" name="TextBox 2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0" name="TextBox 2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1" name="TextBox 2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2" name="TextBox 2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3" name="TextBox 2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4" name="TextBox 2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5" name="TextBox 2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6" name="TextBox 2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7" name="TextBox 2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8" name="TextBox 2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9" name="TextBox 2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0" name="TextBox 2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1" name="TextBox 2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2" name="TextBox 2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3" name="TextBox 2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4" name="TextBox 2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5" name="TextBox 2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6" name="TextBox 2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7" name="TextBox 2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8" name="TextBox 2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79" name="TextBox 2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0" name="TextBox 2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1" name="TextBox 2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2" name="TextBox 2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3" name="TextBox 2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4" name="TextBox 2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5" name="TextBox 2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6" name="TextBox 2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7" name="TextBox 2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8" name="TextBox 2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9" name="TextBox 2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90" name="TextBox 2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1" name="TextBox 2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2" name="TextBox 2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3" name="TextBox 2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4" name="TextBox 2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5" name="TextBox 2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6" name="TextBox 2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7" name="TextBox 2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8" name="TextBox 2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9" name="TextBox 2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0" name="TextBox 2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1" name="TextBox 2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2" name="TextBox 2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3" name="TextBox 2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4" name="TextBox 2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5" name="TextBox 2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6" name="TextBox 2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7" name="TextBox 2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8" name="TextBox 2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9" name="TextBox 2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0" name="TextBox 2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1" name="TextBox 2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2" name="TextBox 2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3" name="TextBox 2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4" name="TextBox 2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5" name="TextBox 2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6" name="TextBox 2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7" name="TextBox 2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8" name="TextBox 2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9" name="TextBox 2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20" name="TextBox 2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1" name="TextBox 2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2" name="TextBox 2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3" name="TextBox 2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4" name="TextBox 2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5" name="TextBox 2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6" name="TextBox 2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7" name="TextBox 2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8" name="TextBox 2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9" name="TextBox 2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0" name="TextBox 2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1" name="TextBox 2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2" name="TextBox 2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3" name="TextBox 2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4" name="TextBox 2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5" name="TextBox 2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6" name="TextBox 2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7" name="TextBox 2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8" name="TextBox 2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39" name="TextBox 2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0" name="TextBox 2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1" name="TextBox 2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2" name="TextBox 2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3" name="TextBox 2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4" name="TextBox 2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5" name="TextBox 2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6" name="TextBox 2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7" name="TextBox 2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8" name="TextBox 2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9" name="TextBox 2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0" name="TextBox 2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1" name="TextBox 2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2" name="TextBox 2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3" name="TextBox 2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4" name="TextBox 2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5" name="TextBox 2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6" name="TextBox 2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7" name="TextBox 2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8" name="TextBox 2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9" name="TextBox 2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0" name="TextBox 2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1" name="TextBox 2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2" name="TextBox 2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3" name="TextBox 2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4" name="TextBox 2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5" name="TextBox 2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6" name="TextBox 2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7" name="TextBox 2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8" name="TextBox 2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69" name="TextBox 2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0" name="TextBox 2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1" name="TextBox 2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2" name="TextBox 2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3" name="TextBox 2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4" name="TextBox 2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5" name="TextBox 2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6" name="TextBox 2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7" name="TextBox 2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8" name="TextBox 2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9" name="TextBox 2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0" name="TextBox 2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1" name="TextBox 2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2" name="TextBox 2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3" name="TextBox 2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4" name="TextBox 2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5" name="TextBox 2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6" name="TextBox 2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7" name="TextBox 2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8" name="TextBox 2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9" name="TextBox 2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0" name="TextBox 2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1" name="TextBox 2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2" name="TextBox 2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3" name="TextBox 2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4" name="TextBox 2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5" name="TextBox 2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6" name="TextBox 2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7" name="TextBox 2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8" name="TextBox 2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9" name="TextBox 2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0" name="TextBox 2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1" name="TextBox 2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2" name="TextBox 2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3" name="TextBox 2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4" name="TextBox 2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5" name="TextBox 2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6" name="TextBox 2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7" name="TextBox 2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8" name="TextBox 2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9" name="TextBox 2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0" name="TextBox 2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1" name="TextBox 2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2" name="TextBox 2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3" name="TextBox 2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4" name="TextBox 2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5" name="TextBox 2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6" name="TextBox 2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7" name="TextBox 2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8" name="TextBox 2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9" name="TextBox 2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0" name="TextBox 2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1" name="TextBox 2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2" name="TextBox 2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3" name="TextBox 2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4" name="TextBox 2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5" name="TextBox 2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6" name="TextBox 2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7" name="TextBox 2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8" name="TextBox 2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9" name="TextBox 2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0" name="TextBox 2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1" name="TextBox 2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2" name="TextBox 2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3" name="TextBox 2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4" name="TextBox 2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5" name="TextBox 2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6" name="TextBox 2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7" name="TextBox 2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8" name="TextBox 2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9" name="TextBox 2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0" name="TextBox 2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1" name="TextBox 2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2" name="TextBox 2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3" name="TextBox 2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4" name="TextBox 2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5" name="TextBox 2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6" name="TextBox 2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7" name="TextBox 2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8" name="TextBox 2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9" name="TextBox 2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0" name="TextBox 2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1" name="TextBox 2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2" name="TextBox 2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3" name="TextBox 2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4" name="TextBox 2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5" name="TextBox 2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6" name="TextBox 2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7" name="TextBox 2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8" name="TextBox 2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9" name="TextBox 2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0" name="TextBox 2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1" name="TextBox 2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2" name="TextBox 2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3" name="TextBox 2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4" name="TextBox 2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5" name="TextBox 2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6" name="TextBox 2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7" name="TextBox 2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8" name="TextBox 2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9" name="TextBox 2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0" name="TextBox 2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1" name="TextBox 2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2" name="TextBox 2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3" name="TextBox 2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4" name="TextBox 2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5" name="TextBox 2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6" name="TextBox 2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7" name="TextBox 2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8" name="TextBox 2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9" name="TextBox 2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0" name="TextBox 2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1" name="TextBox 2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2" name="TextBox 2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3" name="TextBox 2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4" name="TextBox 2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5" name="TextBox 2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6" name="TextBox 2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7" name="TextBox 2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8" name="TextBox 2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9" name="TextBox 2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0" name="TextBox 2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1" name="TextBox 2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2" name="TextBox 2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3" name="TextBox 2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4" name="TextBox 2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5" name="TextBox 2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6" name="TextBox 2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7" name="TextBox 2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8" name="TextBox 2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9" name="TextBox 2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0" name="TextBox 2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1" name="TextBox 2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2" name="TextBox 2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3" name="TextBox 2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4" name="TextBox 2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5" name="TextBox 2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6" name="TextBox 2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7" name="TextBox 2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8" name="TextBox 2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9" name="TextBox 2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0" name="TextBox 2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1" name="TextBox 2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2" name="TextBox 2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3" name="TextBox 2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4" name="TextBox 2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5" name="TextBox 2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6" name="TextBox 2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7" name="TextBox 2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8" name="TextBox 2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9" name="TextBox 2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0" name="TextBox 2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1" name="TextBox 2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2" name="TextBox 2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3" name="TextBox 2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4" name="TextBox 2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5" name="TextBox 2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6" name="TextBox 2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7" name="TextBox 2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8" name="TextBox 2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9" name="TextBox 2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0" name="TextBox 2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1" name="TextBox 2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2" name="TextBox 2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3" name="TextBox 2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4" name="TextBox 2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5" name="TextBox 2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6" name="TextBox 2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7" name="TextBox 2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8" name="TextBox 2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9" name="TextBox 2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0" name="TextBox 2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1" name="TextBox 2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2" name="TextBox 2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3" name="TextBox 2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4" name="TextBox 2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5" name="TextBox 2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6" name="TextBox 2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7" name="TextBox 2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8" name="TextBox 2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9" name="TextBox 2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0" name="TextBox 2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1" name="TextBox 2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2" name="TextBox 2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3" name="TextBox 2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4" name="TextBox 2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5" name="TextBox 2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6" name="TextBox 2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7" name="TextBox 2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8" name="TextBox 2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9" name="TextBox 2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0" name="TextBox 2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1" name="TextBox 2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2" name="TextBox 2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3" name="TextBox 2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4" name="TextBox 2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5" name="TextBox 2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6" name="TextBox 2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7" name="TextBox 2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8" name="TextBox 2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9" name="TextBox 2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0" name="TextBox 2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1" name="TextBox 2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2" name="TextBox 2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3" name="TextBox 2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4" name="TextBox 2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5" name="TextBox 2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6" name="TextBox 2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7" name="TextBox 2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8" name="TextBox 2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9" name="TextBox 2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0" name="TextBox 2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1" name="TextBox 2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2" name="TextBox 2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3" name="TextBox 2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4" name="TextBox 2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5" name="TextBox 2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6" name="TextBox 2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7" name="TextBox 2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8" name="TextBox 2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9" name="TextBox 2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0" name="TextBox 2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1" name="TextBox 2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2" name="TextBox 2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3" name="TextBox 2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4" name="TextBox 2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5" name="TextBox 2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6" name="TextBox 2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7" name="TextBox 2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8" name="TextBox 2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9" name="TextBox 2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0" name="TextBox 2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1" name="TextBox 2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2" name="TextBox 2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3" name="TextBox 2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4" name="TextBox 2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5" name="TextBox 2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6" name="TextBox 2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7" name="TextBox 2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8" name="TextBox 2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9" name="TextBox 2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0" name="TextBox 2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1" name="TextBox 2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2" name="TextBox 2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3" name="TextBox 2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4" name="TextBox 2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5" name="TextBox 2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6" name="TextBox 2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7" name="TextBox 2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8" name="TextBox 2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9" name="TextBox 2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20" name="TextBox 2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1" name="TextBox 2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2" name="TextBox 2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3" name="TextBox 2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4" name="TextBox 2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5" name="TextBox 2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6" name="TextBox 2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7" name="TextBox 2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8" name="TextBox 2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9" name="TextBox 2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0" name="TextBox 2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1" name="TextBox 2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2" name="TextBox 2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3" name="TextBox 2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4" name="TextBox 2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5" name="TextBox 2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6" name="TextBox 2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7" name="TextBox 2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8" name="TextBox 2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9" name="TextBox 2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0" name="TextBox 2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1" name="TextBox 2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2" name="TextBox 2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3" name="TextBox 2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4" name="TextBox 2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5" name="TextBox 2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6" name="TextBox 2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7" name="TextBox 2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8" name="TextBox 2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9" name="TextBox 2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0" name="TextBox 2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1" name="TextBox 2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2" name="TextBox 2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3" name="TextBox 2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4" name="TextBox 2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5" name="TextBox 2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6" name="TextBox 2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7" name="TextBox 2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8" name="TextBox 2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9" name="TextBox 2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0" name="TextBox 2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1" name="TextBox 2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2" name="TextBox 2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3" name="TextBox 2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4" name="TextBox 2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5" name="TextBox 2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6" name="TextBox 2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7" name="TextBox 2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8" name="TextBox 2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9" name="TextBox 2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0" name="TextBox 2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1" name="TextBox 2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2" name="TextBox 2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3" name="TextBox 2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4" name="TextBox 2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5" name="TextBox 2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6" name="TextBox 2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7" name="TextBox 2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8" name="TextBox 2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9" name="TextBox 2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0" name="TextBox 2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1" name="TextBox 2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2" name="TextBox 2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3" name="TextBox 2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4" name="TextBox 2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5" name="TextBox 2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6" name="TextBox 2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7" name="TextBox 2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8" name="TextBox 2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9" name="TextBox 2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0" name="TextBox 2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1" name="TextBox 2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2" name="TextBox 2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3" name="TextBox 2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4" name="TextBox 2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5" name="TextBox 2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6" name="TextBox 2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7" name="TextBox 2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8" name="TextBox 2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9" name="TextBox 2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0" name="TextBox 2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1" name="TextBox 2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2" name="TextBox 2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3" name="TextBox 2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4" name="TextBox 2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5" name="TextBox 2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6" name="TextBox 2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7" name="TextBox 2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8" name="TextBox 2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9" name="TextBox 2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10" name="TextBox 2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1" name="TextBox 2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2" name="TextBox 2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3" name="TextBox 2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4" name="TextBox 2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5" name="TextBox 2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6" name="TextBox 2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7" name="TextBox 2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8" name="TextBox 2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9" name="TextBox 2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0" name="TextBox 2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1" name="TextBox 2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2" name="TextBox 2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3" name="TextBox 2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4" name="TextBox 2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5" name="TextBox 2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6" name="TextBox 2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7" name="TextBox 2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8" name="TextBox 2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9" name="TextBox 2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0" name="TextBox 2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1" name="TextBox 2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2" name="TextBox 2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3" name="TextBox 2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4" name="TextBox 2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5" name="TextBox 2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6" name="TextBox 2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7" name="TextBox 2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8" name="TextBox 2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9" name="TextBox 2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0" name="TextBox 2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1" name="TextBox 2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2" name="TextBox 2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3" name="TextBox 2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4" name="TextBox 2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5" name="TextBox 2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6" name="TextBox 2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7" name="TextBox 2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8" name="TextBox 2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9" name="TextBox 2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0" name="TextBox 2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1" name="TextBox 2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2" name="TextBox 2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3" name="TextBox 2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4" name="TextBox 2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5" name="TextBox 2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6" name="TextBox 2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7" name="TextBox 2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8" name="TextBox 2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9" name="TextBox 2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0" name="TextBox 2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1" name="TextBox 2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2" name="TextBox 2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3" name="TextBox 2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4" name="TextBox 2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5" name="TextBox 2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6" name="TextBox 2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7" name="TextBox 2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8" name="TextBox 2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9" name="TextBox 2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0" name="TextBox 2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1" name="TextBox 2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2" name="TextBox 2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3" name="TextBox 2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4" name="TextBox 2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5" name="TextBox 2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6" name="TextBox 2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7" name="TextBox 2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8" name="TextBox 2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9" name="TextBox 2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0" name="TextBox 2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1" name="TextBox 2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2" name="TextBox 2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3" name="TextBox 2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4" name="TextBox 2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5" name="TextBox 2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6" name="TextBox 2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7" name="TextBox 2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8" name="TextBox 2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9" name="TextBox 2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0" name="TextBox 2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1" name="TextBox 2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2" name="TextBox 2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3" name="TextBox 2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4" name="TextBox 2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5" name="TextBox 2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6" name="TextBox 2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7" name="TextBox 2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8" name="TextBox 2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9" name="TextBox 2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0" name="TextBox 2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1" name="TextBox 2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2" name="TextBox 2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3" name="TextBox 2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4" name="TextBox 2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5" name="TextBox 2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6" name="TextBox 2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7" name="TextBox 2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8" name="TextBox 2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9" name="TextBox 2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0" name="TextBox 2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1" name="TextBox 2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2" name="TextBox 2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3" name="TextBox 2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4" name="TextBox 2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5" name="TextBox 2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6" name="TextBox 2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7" name="TextBox 2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8" name="TextBox 2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9" name="TextBox 2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0" name="TextBox 2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1" name="TextBox 2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2" name="TextBox 2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3" name="TextBox 2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4" name="TextBox 2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5" name="TextBox 2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6" name="TextBox 2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7" name="TextBox 2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8" name="TextBox 2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9" name="TextBox 2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0" name="TextBox 2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1" name="TextBox 2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2" name="TextBox 2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3" name="TextBox 2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4" name="TextBox 2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5" name="TextBox 2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6" name="TextBox 2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7" name="TextBox 2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8" name="TextBox 2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9" name="TextBox 2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0" name="TextBox 2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1" name="TextBox 2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2" name="TextBox 2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3" name="TextBox 2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4" name="TextBox 2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5" name="TextBox 2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6" name="TextBox 2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7" name="TextBox 2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8" name="TextBox 2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9" name="TextBox 2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0" name="TextBox 2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1" name="TextBox 2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2" name="TextBox 2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3" name="TextBox 2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4" name="TextBox 2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5" name="TextBox 2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6" name="TextBox 2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7" name="TextBox 2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8" name="TextBox 2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9" name="TextBox 2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0" name="TextBox 2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1" name="TextBox 2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2" name="TextBox 2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3" name="TextBox 2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4" name="TextBox 2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5" name="TextBox 2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6" name="TextBox 2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7" name="TextBox 2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8" name="TextBox 2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9" name="TextBox 2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0" name="TextBox 2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1" name="TextBox 2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2" name="TextBox 2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3" name="TextBox 2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4" name="TextBox 2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5" name="TextBox 2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6" name="TextBox 2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7" name="TextBox 2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8" name="TextBox 2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79" name="TextBox 2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0" name="TextBox 2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1" name="TextBox 2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2" name="TextBox 2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3" name="TextBox 2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4" name="TextBox 2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5" name="TextBox 2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6" name="TextBox 2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7" name="TextBox 2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8" name="TextBox 2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9" name="TextBox 2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0" name="TextBox 2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1" name="TextBox 2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2" name="TextBox 2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3" name="TextBox 2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4" name="TextBox 2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5" name="TextBox 2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6" name="TextBox 2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7" name="TextBox 2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8" name="TextBox 2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9" name="TextBox 2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0" name="TextBox 2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1" name="TextBox 2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2" name="TextBox 2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3" name="TextBox 2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4" name="TextBox 2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5" name="TextBox 2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6" name="TextBox 2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7" name="TextBox 2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8" name="TextBox 2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9" name="TextBox 2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0" name="TextBox 2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1" name="TextBox 2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2" name="TextBox 2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3" name="TextBox 2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4" name="TextBox 2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5" name="TextBox 2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6" name="TextBox 2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7" name="TextBox 2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8" name="TextBox 2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9" name="TextBox 2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0" name="TextBox 2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1" name="TextBox 2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2" name="TextBox 2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3" name="TextBox 2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4" name="TextBox 2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5" name="TextBox 2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6" name="TextBox 2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7" name="TextBox 2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8" name="TextBox 2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9" name="TextBox 2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0" name="TextBox 2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1" name="TextBox 2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2" name="TextBox 2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3" name="TextBox 2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4" name="TextBox 2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5" name="TextBox 2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6" name="TextBox 2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7" name="TextBox 2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8" name="TextBox 2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9" name="TextBox 2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0" name="TextBox 2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1" name="TextBox 2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2" name="TextBox 2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3" name="TextBox 2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4" name="TextBox 2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5" name="TextBox 2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6" name="TextBox 2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7" name="TextBox 2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8" name="TextBox 2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9" name="TextBox 2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0" name="TextBox 2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1" name="TextBox 2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2" name="TextBox 2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3" name="TextBox 2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4" name="TextBox 2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5" name="TextBox 2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6" name="TextBox 2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7" name="TextBox 2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8" name="TextBox 2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9" name="TextBox 2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0" name="TextBox 2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1" name="TextBox 2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2" name="TextBox 2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3" name="TextBox 2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4" name="TextBox 2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5" name="TextBox 2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6" name="TextBox 2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7" name="TextBox 2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8" name="TextBox 2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69" name="TextBox 2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0" name="TextBox 2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1" name="TextBox 2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2" name="TextBox 2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3" name="TextBox 2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4" name="TextBox 2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5" name="TextBox 2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6" name="TextBox 2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7" name="TextBox 2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8" name="TextBox 2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9" name="TextBox 2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0" name="TextBox 2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1" name="TextBox 2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2" name="TextBox 2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3" name="TextBox 2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4" name="TextBox 2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5" name="TextBox 2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6" name="TextBox 2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7" name="TextBox 2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8" name="TextBox 2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9" name="TextBox 2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0" name="TextBox 2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1" name="TextBox 2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2" name="TextBox 2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3" name="TextBox 2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4" name="TextBox 2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5" name="TextBox 2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6" name="TextBox 2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7" name="TextBox 2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8" name="TextBox 2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9" name="TextBox 2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0" name="TextBox 2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1" name="TextBox 2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2" name="TextBox 2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3" name="TextBox 2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4" name="TextBox 2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5" name="TextBox 2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6" name="TextBox 2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7" name="TextBox 2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8" name="TextBox 2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9" name="TextBox 2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0" name="TextBox 2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1" name="TextBox 2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2" name="TextBox 2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3" name="TextBox 2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4" name="TextBox 2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5" name="TextBox 2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6" name="TextBox 2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7" name="TextBox 2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8" name="TextBox 2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9" name="TextBox 2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0" name="TextBox 2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1" name="TextBox 2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2" name="TextBox 2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3" name="TextBox 2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4" name="TextBox 2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5" name="TextBox 2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6" name="TextBox 2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7" name="TextBox 2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8" name="TextBox 2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29" name="TextBox 2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0" name="TextBox 2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1" name="TextBox 2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2" name="TextBox 2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3" name="TextBox 2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4" name="TextBox 2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5" name="TextBox 2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6" name="TextBox 2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7" name="TextBox 2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8" name="TextBox 2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9" name="TextBox 2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40" name="TextBox 2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1" name="TextBox 2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2" name="TextBox 2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3" name="TextBox 2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4" name="TextBox 2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5" name="TextBox 2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6" name="TextBox 2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7" name="TextBox 2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8" name="TextBox 2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9" name="TextBox 2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0" name="TextBox 2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1" name="TextBox 2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2" name="TextBox 2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3" name="TextBox 2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4" name="TextBox 2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5" name="TextBox 2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6" name="TextBox 2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7" name="TextBox 2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8" name="TextBox 2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9" name="TextBox 2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0" name="TextBox 2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1" name="TextBox 2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2" name="TextBox 2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3" name="TextBox 2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4" name="TextBox 2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5" name="TextBox 2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6" name="TextBox 2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7" name="TextBox 2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8" name="TextBox 2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9" name="TextBox 2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0" name="TextBox 2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1" name="TextBox 2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2" name="TextBox 2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3" name="TextBox 2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4" name="TextBox 2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5" name="TextBox 2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6" name="TextBox 2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7" name="TextBox 2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8" name="TextBox 2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9" name="TextBox 2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0" name="TextBox 2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1" name="TextBox 2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2" name="TextBox 2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3" name="TextBox 2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4" name="TextBox 2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5" name="TextBox 2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6" name="TextBox 2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7" name="TextBox 2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8" name="TextBox 2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9" name="TextBox 2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0" name="TextBox 2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1" name="TextBox 2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2" name="TextBox 2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3" name="TextBox 2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4" name="TextBox 2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5" name="TextBox 2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6" name="TextBox 2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7" name="TextBox 2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8" name="TextBox 2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9" name="TextBox 2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0" name="TextBox 2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1" name="TextBox 2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2" name="TextBox 2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3" name="TextBox 2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4" name="TextBox 2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5" name="TextBox 2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6" name="TextBox 2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7" name="TextBox 2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8" name="TextBox 2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9" name="TextBox 2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0" name="TextBox 2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1" name="TextBox 2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2" name="TextBox 2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3" name="TextBox 2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4" name="TextBox 2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5" name="TextBox 2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6" name="TextBox 2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7" name="TextBox 2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8" name="TextBox 2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9" name="TextBox 2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0" name="TextBox 2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1" name="TextBox 2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2" name="TextBox 2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3" name="TextBox 2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4" name="TextBox 2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5" name="TextBox 2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6" name="TextBox 2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7" name="TextBox 2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8" name="TextBox 2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9" name="TextBox 2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0" name="TextBox 2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1" name="TextBox 2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2" name="TextBox 2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3" name="TextBox 2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4" name="TextBox 2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5" name="TextBox 2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6" name="TextBox 2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7" name="TextBox 2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8" name="TextBox 2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9" name="TextBox 2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0" name="TextBox 2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1" name="TextBox 2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2" name="TextBox 2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3" name="TextBox 2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4" name="TextBox 2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5" name="TextBox 2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6" name="TextBox 2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7" name="TextBox 2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8" name="TextBox 2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9" name="TextBox 2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0" name="TextBox 2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1" name="TextBox 2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2" name="TextBox 2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3" name="TextBox 2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4" name="TextBox 2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5" name="TextBox 2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6" name="TextBox 2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7" name="TextBox 2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8" name="TextBox 2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9" name="TextBox 2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0" name="TextBox 2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1" name="TextBox 2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2" name="TextBox 2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3" name="TextBox 2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4" name="TextBox 2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5" name="TextBox 2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6" name="TextBox 2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7" name="TextBox 2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8" name="TextBox 2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9" name="TextBox 2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0" name="TextBox 2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1" name="TextBox 2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2" name="TextBox 2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3" name="TextBox 2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4" name="TextBox 2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5" name="TextBox 2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6" name="TextBox 2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7" name="TextBox 2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8" name="TextBox 2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9" name="TextBox 2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0" name="TextBox 2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1" name="TextBox 2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2" name="TextBox 2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3" name="TextBox 2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4" name="TextBox 2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5" name="TextBox 2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6" name="TextBox 2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7" name="TextBox 2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8" name="TextBox 2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9" name="TextBox 2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90" name="TextBox 2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1" name="TextBox 2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2" name="TextBox 2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3" name="TextBox 2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4" name="TextBox 2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5" name="TextBox 2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6" name="TextBox 2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7" name="TextBox 2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8" name="TextBox 2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9" name="TextBox 2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0" name="TextBox 2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1" name="TextBox 2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2" name="TextBox 2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3" name="TextBox 2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4" name="TextBox 2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5" name="TextBox 2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6" name="TextBox 2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7" name="TextBox 2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8" name="TextBox 2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9" name="TextBox 2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0" name="TextBox 2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1" name="TextBox 2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2" name="TextBox 2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3" name="TextBox 2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4" name="TextBox 2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5" name="TextBox 2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6" name="TextBox 2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7" name="TextBox 2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8" name="TextBox 2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9" name="TextBox 2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0" name="TextBox 2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1" name="TextBox 2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2" name="TextBox 2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3" name="TextBox 2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4" name="TextBox 2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5" name="TextBox 2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6" name="TextBox 2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7" name="TextBox 2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8" name="TextBox 2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9" name="TextBox 2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0" name="TextBox 2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1" name="TextBox 2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2" name="TextBox 2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3" name="TextBox 2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4" name="TextBox 2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5" name="TextBox 2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6" name="TextBox 2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7" name="TextBox 2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8" name="TextBox 2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9" name="TextBox 2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0" name="TextBox 2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1" name="TextBox 2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2" name="TextBox 2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3" name="TextBox 2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4" name="TextBox 2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5" name="TextBox 2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6" name="TextBox 2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7" name="TextBox 2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8" name="TextBox 2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9" name="TextBox 2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0" name="TextBox 2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1" name="TextBox 2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2" name="TextBox 2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3" name="TextBox 2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4" name="TextBox 2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5" name="TextBox 2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6" name="TextBox 2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7" name="TextBox 2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8" name="TextBox 2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9" name="TextBox 2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0" name="TextBox 2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1" name="TextBox 2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2" name="TextBox 2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3" name="TextBox 2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4" name="TextBox 2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5" name="TextBox 2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6" name="TextBox 2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7" name="TextBox 2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8" name="TextBox 2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9" name="TextBox 2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0" name="TextBox 2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1" name="TextBox 2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2" name="TextBox 2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3" name="TextBox 2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4" name="TextBox 2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5" name="TextBox 2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6" name="TextBox 2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7" name="TextBox 2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8" name="TextBox 2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9" name="TextBox 2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80" name="TextBox 2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4"/>
  <sheetViews>
    <sheetView tabSelected="1" view="pageBreakPreview" topLeftCell="B1" zoomScale="60" zoomScaleNormal="100" workbookViewId="0">
      <selection activeCell="B10" sqref="B10:Z10"/>
    </sheetView>
  </sheetViews>
  <sheetFormatPr defaultRowHeight="12.75" x14ac:dyDescent="0.2"/>
  <cols>
    <col min="1" max="1" width="5" style="53" hidden="1" customWidth="1"/>
    <col min="2" max="2" width="63.85546875" style="56" customWidth="1"/>
    <col min="3" max="3" width="5.5703125" style="56" customWidth="1"/>
    <col min="4" max="4" width="2.85546875" style="245" customWidth="1"/>
    <col min="5" max="5" width="3.28515625" style="245" customWidth="1"/>
    <col min="6" max="6" width="2.28515625" style="245" customWidth="1"/>
    <col min="7" max="7" width="6.28515625" style="56" customWidth="1"/>
    <col min="8" max="8" width="3.42578125" style="56" customWidth="1"/>
    <col min="9" max="9" width="8.7109375" style="245" customWidth="1"/>
    <col min="10" max="13" width="15.85546875" style="56" hidden="1" customWidth="1"/>
    <col min="14" max="14" width="21" style="56" hidden="1" customWidth="1"/>
    <col min="15" max="17" width="21.140625" style="56" hidden="1" customWidth="1"/>
    <col min="18" max="18" width="21.140625" style="56" customWidth="1"/>
    <col min="19" max="19" width="21.140625" style="56" hidden="1" customWidth="1"/>
    <col min="20" max="21" width="17.140625" style="56" hidden="1" customWidth="1"/>
    <col min="22" max="22" width="20.7109375" style="56" hidden="1" customWidth="1"/>
    <col min="23" max="23" width="19.5703125" style="56" customWidth="1"/>
    <col min="24" max="24" width="18.28515625" style="56" hidden="1" customWidth="1"/>
    <col min="25" max="25" width="20.5703125" style="56" hidden="1" customWidth="1"/>
    <col min="26" max="26" width="22.28515625" style="56" customWidth="1"/>
    <col min="27" max="16384" width="9.140625" style="56"/>
  </cols>
  <sheetData>
    <row r="1" spans="1:26" ht="15.75" customHeight="1" x14ac:dyDescent="0.25">
      <c r="B1" s="54"/>
      <c r="C1" s="54"/>
      <c r="D1" s="55"/>
      <c r="E1" s="55"/>
      <c r="F1" s="55"/>
      <c r="G1" s="54"/>
      <c r="H1" s="54"/>
      <c r="I1" s="304" t="s">
        <v>316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54"/>
      <c r="Y1" s="54"/>
      <c r="Z1" s="54"/>
    </row>
    <row r="2" spans="1:26" ht="18" customHeight="1" x14ac:dyDescent="0.25">
      <c r="B2" s="54"/>
      <c r="C2" s="54"/>
      <c r="D2" s="55"/>
      <c r="E2" s="55"/>
      <c r="F2" s="55"/>
      <c r="G2" s="54"/>
      <c r="H2" s="54"/>
      <c r="I2" s="304" t="s">
        <v>290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54"/>
      <c r="Y2" s="54"/>
      <c r="Z2" s="54"/>
    </row>
    <row r="3" spans="1:26" ht="20.25" customHeight="1" x14ac:dyDescent="0.25">
      <c r="B3" s="54"/>
      <c r="C3" s="54"/>
      <c r="D3" s="55"/>
      <c r="E3" s="55"/>
      <c r="F3" s="55"/>
      <c r="G3" s="54"/>
      <c r="H3" s="54"/>
      <c r="I3" s="2"/>
      <c r="J3" s="305" t="s">
        <v>277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54"/>
      <c r="Y3" s="54"/>
      <c r="Z3" s="54"/>
    </row>
    <row r="4" spans="1:26" x14ac:dyDescent="0.2">
      <c r="B4" s="54"/>
      <c r="C4" s="54"/>
      <c r="D4" s="55"/>
      <c r="E4" s="55"/>
      <c r="F4" s="55"/>
      <c r="G4" s="54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x14ac:dyDescent="0.2">
      <c r="B5" s="54"/>
      <c r="C5" s="54"/>
      <c r="D5" s="55"/>
      <c r="E5" s="55"/>
      <c r="F5" s="55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.75" customHeight="1" x14ac:dyDescent="0.25">
      <c r="B6" s="54"/>
      <c r="C6" s="54"/>
      <c r="D6" s="55"/>
      <c r="E6" s="55"/>
      <c r="F6" s="55"/>
      <c r="G6" s="54"/>
      <c r="H6" s="54"/>
      <c r="I6" s="55"/>
      <c r="J6" s="54"/>
      <c r="K6" s="54"/>
      <c r="L6" s="304" t="s">
        <v>315</v>
      </c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54"/>
      <c r="Y6" s="54"/>
      <c r="Z6" s="54"/>
    </row>
    <row r="7" spans="1:26" ht="24" customHeight="1" x14ac:dyDescent="0.25">
      <c r="B7" s="54"/>
      <c r="C7" s="54"/>
      <c r="D7" s="55"/>
      <c r="E7" s="55"/>
      <c r="F7" s="55"/>
      <c r="G7" s="54"/>
      <c r="H7" s="54"/>
      <c r="I7" s="55"/>
      <c r="J7" s="54"/>
      <c r="K7" s="54"/>
      <c r="L7" s="304" t="s">
        <v>135</v>
      </c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54"/>
      <c r="Y7" s="54"/>
      <c r="Z7" s="54"/>
    </row>
    <row r="8" spans="1:26" ht="21" customHeight="1" x14ac:dyDescent="0.25">
      <c r="B8" s="54"/>
      <c r="C8" s="54"/>
      <c r="D8" s="55"/>
      <c r="E8" s="55"/>
      <c r="F8" s="55"/>
      <c r="G8" s="54"/>
      <c r="H8" s="54"/>
      <c r="I8" s="55"/>
      <c r="J8" s="54"/>
      <c r="K8" s="54"/>
      <c r="L8" s="305" t="s">
        <v>275</v>
      </c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54"/>
      <c r="Y8" s="54"/>
      <c r="Z8" s="54"/>
    </row>
    <row r="9" spans="1:26" x14ac:dyDescent="0.2">
      <c r="B9" s="54"/>
      <c r="C9" s="54"/>
      <c r="D9" s="55"/>
      <c r="E9" s="55"/>
      <c r="F9" s="55"/>
      <c r="G9" s="54"/>
      <c r="H9" s="54"/>
      <c r="I9" s="55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68.25" customHeight="1" x14ac:dyDescent="0.2">
      <c r="B10" s="320" t="s">
        <v>182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</row>
    <row r="11" spans="1:26" x14ac:dyDescent="0.2">
      <c r="B11" s="57"/>
      <c r="C11" s="57"/>
      <c r="D11" s="57"/>
      <c r="E11" s="57"/>
      <c r="F11" s="57"/>
      <c r="G11" s="57"/>
      <c r="H11" s="57"/>
      <c r="I11" s="5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6" ht="21.75" customHeight="1" x14ac:dyDescent="0.2">
      <c r="A12" s="58" t="s">
        <v>79</v>
      </c>
      <c r="B12" s="315" t="s">
        <v>67</v>
      </c>
      <c r="C12" s="309" t="s">
        <v>80</v>
      </c>
      <c r="D12" s="310"/>
      <c r="E12" s="310"/>
      <c r="F12" s="310"/>
      <c r="G12" s="310"/>
      <c r="H12" s="311"/>
      <c r="I12" s="315" t="s">
        <v>161</v>
      </c>
      <c r="J12" s="317" t="s">
        <v>158</v>
      </c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9"/>
    </row>
    <row r="13" spans="1:26" ht="57.75" customHeight="1" x14ac:dyDescent="0.2">
      <c r="A13" s="58"/>
      <c r="B13" s="316"/>
      <c r="C13" s="312"/>
      <c r="D13" s="313"/>
      <c r="E13" s="313"/>
      <c r="F13" s="313"/>
      <c r="G13" s="313"/>
      <c r="H13" s="314"/>
      <c r="I13" s="316"/>
      <c r="J13" s="296" t="s">
        <v>159</v>
      </c>
      <c r="K13" s="296"/>
      <c r="L13" s="59" t="s">
        <v>160</v>
      </c>
      <c r="M13" s="59" t="s">
        <v>170</v>
      </c>
      <c r="N13" s="59" t="s">
        <v>160</v>
      </c>
      <c r="O13" s="60" t="s">
        <v>174</v>
      </c>
      <c r="P13" s="60" t="s">
        <v>170</v>
      </c>
      <c r="Q13" s="59" t="s">
        <v>160</v>
      </c>
      <c r="R13" s="59" t="s">
        <v>160</v>
      </c>
      <c r="S13" s="60" t="s">
        <v>174</v>
      </c>
      <c r="T13" s="61" t="s">
        <v>181</v>
      </c>
      <c r="U13" s="61" t="s">
        <v>181</v>
      </c>
      <c r="V13" s="60" t="s">
        <v>174</v>
      </c>
      <c r="W13" s="60" t="s">
        <v>174</v>
      </c>
      <c r="X13" s="61" t="s">
        <v>181</v>
      </c>
      <c r="Y13" s="61" t="s">
        <v>181</v>
      </c>
      <c r="Z13" s="61" t="s">
        <v>181</v>
      </c>
    </row>
    <row r="14" spans="1:26" s="67" customFormat="1" x14ac:dyDescent="0.2">
      <c r="A14" s="62">
        <v>1</v>
      </c>
      <c r="B14" s="62">
        <v>1</v>
      </c>
      <c r="C14" s="308" t="s">
        <v>81</v>
      </c>
      <c r="D14" s="308"/>
      <c r="E14" s="308"/>
      <c r="F14" s="308"/>
      <c r="G14" s="308"/>
      <c r="H14" s="308"/>
      <c r="I14" s="292" t="s">
        <v>82</v>
      </c>
      <c r="J14" s="63">
        <v>4</v>
      </c>
      <c r="K14" s="62"/>
      <c r="L14" s="64">
        <v>4</v>
      </c>
      <c r="M14" s="64">
        <v>4</v>
      </c>
      <c r="N14" s="64">
        <v>4</v>
      </c>
      <c r="O14" s="65">
        <v>5</v>
      </c>
      <c r="P14" s="65">
        <v>5</v>
      </c>
      <c r="Q14" s="64">
        <v>4</v>
      </c>
      <c r="R14" s="64">
        <v>4</v>
      </c>
      <c r="S14" s="65">
        <v>5</v>
      </c>
      <c r="T14" s="66">
        <v>6</v>
      </c>
      <c r="U14" s="66">
        <v>6</v>
      </c>
      <c r="V14" s="65">
        <v>5</v>
      </c>
      <c r="W14" s="65">
        <v>5</v>
      </c>
      <c r="X14" s="66">
        <v>6</v>
      </c>
      <c r="Y14" s="66">
        <v>6</v>
      </c>
      <c r="Z14" s="66">
        <v>6</v>
      </c>
    </row>
    <row r="15" spans="1:26" ht="9" customHeight="1" x14ac:dyDescent="0.2">
      <c r="A15" s="68"/>
      <c r="B15" s="69"/>
      <c r="C15" s="293"/>
      <c r="D15" s="294"/>
      <c r="E15" s="294"/>
      <c r="F15" s="294"/>
      <c r="G15" s="70"/>
      <c r="H15" s="71"/>
      <c r="I15" s="72"/>
      <c r="J15" s="73"/>
      <c r="K15" s="74"/>
      <c r="L15" s="74"/>
      <c r="M15" s="74"/>
      <c r="N15" s="74"/>
      <c r="O15" s="75"/>
      <c r="P15" s="75"/>
      <c r="Q15" s="74"/>
      <c r="R15" s="74"/>
      <c r="S15" s="75"/>
      <c r="T15" s="75"/>
      <c r="U15" s="75"/>
      <c r="V15" s="75"/>
      <c r="W15" s="75"/>
      <c r="X15" s="75"/>
      <c r="Y15" s="75"/>
      <c r="Z15" s="75"/>
    </row>
    <row r="16" spans="1:26" ht="18.75" x14ac:dyDescent="0.2">
      <c r="A16" s="76"/>
      <c r="B16" s="77" t="s">
        <v>77</v>
      </c>
      <c r="C16" s="78"/>
      <c r="D16" s="79"/>
      <c r="E16" s="79"/>
      <c r="F16" s="79"/>
      <c r="G16" s="80"/>
      <c r="H16" s="81"/>
      <c r="I16" s="82"/>
      <c r="J16" s="83" t="e">
        <f>J17+J106+J123+J133+J144+J156+J170+J175+J181+J189+J211+J221+J306+J206+J83+J323+J343+J365</f>
        <v>#REF!</v>
      </c>
      <c r="K16" s="84" t="e">
        <f>K17+K106+K123+K133+K144+K156+K170+K175+K181+K189+K211+K221+K306+K206+K83+K323+K343+K365</f>
        <v>#REF!</v>
      </c>
      <c r="L16" s="84">
        <f t="shared" ref="L16:Z16" si="0">L17+L106+L123+L133+L144+L156+L170+L175+L181+L189+L211+L221+L306+L206+L83+L323+L343+L365+L357+L373+L378+L386</f>
        <v>1647802932.0800002</v>
      </c>
      <c r="M16" s="84">
        <f t="shared" si="0"/>
        <v>195645675.06</v>
      </c>
      <c r="N16" s="84">
        <f t="shared" si="0"/>
        <v>1843448607.1399999</v>
      </c>
      <c r="O16" s="85">
        <f t="shared" si="0"/>
        <v>2123680391.0599999</v>
      </c>
      <c r="P16" s="85">
        <f t="shared" si="0"/>
        <v>35882760.670000002</v>
      </c>
      <c r="Q16" s="84">
        <f t="shared" si="0"/>
        <v>127787914.61</v>
      </c>
      <c r="R16" s="84">
        <f t="shared" si="0"/>
        <v>1971236521.7500002</v>
      </c>
      <c r="S16" s="85">
        <f t="shared" si="0"/>
        <v>1929642019.3399997</v>
      </c>
      <c r="T16" s="85">
        <f t="shared" si="0"/>
        <v>1963660325.0400002</v>
      </c>
      <c r="U16" s="85">
        <f t="shared" si="0"/>
        <v>-3947499.01</v>
      </c>
      <c r="V16" s="85">
        <f t="shared" si="0"/>
        <v>32784324.57</v>
      </c>
      <c r="W16" s="85">
        <f t="shared" si="0"/>
        <v>1962426343.9099998</v>
      </c>
      <c r="X16" s="85">
        <f t="shared" si="0"/>
        <v>1795372813.6099997</v>
      </c>
      <c r="Y16" s="85">
        <f t="shared" si="0"/>
        <v>107007166.05000001</v>
      </c>
      <c r="Z16" s="85">
        <f t="shared" si="0"/>
        <v>1902379979.6599996</v>
      </c>
    </row>
    <row r="17" spans="1:26" ht="53.25" customHeight="1" x14ac:dyDescent="0.2">
      <c r="A17" s="76"/>
      <c r="B17" s="86" t="s">
        <v>238</v>
      </c>
      <c r="C17" s="87" t="s">
        <v>59</v>
      </c>
      <c r="D17" s="88" t="s">
        <v>83</v>
      </c>
      <c r="E17" s="88" t="s">
        <v>83</v>
      </c>
      <c r="F17" s="88" t="s">
        <v>83</v>
      </c>
      <c r="G17" s="88" t="s">
        <v>84</v>
      </c>
      <c r="H17" s="89" t="s">
        <v>83</v>
      </c>
      <c r="I17" s="90"/>
      <c r="J17" s="83" t="e">
        <f>J18+#REF!+J60</f>
        <v>#REF!</v>
      </c>
      <c r="K17" s="84" t="e">
        <f>K18+#REF!+K60</f>
        <v>#REF!</v>
      </c>
      <c r="L17" s="84">
        <f t="shared" ref="L17:Z17" si="1">L18+L60</f>
        <v>334685729.33000004</v>
      </c>
      <c r="M17" s="84">
        <f t="shared" si="1"/>
        <v>9133581.6799999997</v>
      </c>
      <c r="N17" s="84">
        <f t="shared" si="1"/>
        <v>343819311.00999999</v>
      </c>
      <c r="O17" s="85">
        <f t="shared" si="1"/>
        <v>396035639.84999996</v>
      </c>
      <c r="P17" s="85">
        <f t="shared" si="1"/>
        <v>-70786.55</v>
      </c>
      <c r="Q17" s="84">
        <f t="shared" si="1"/>
        <v>23715111.120000001</v>
      </c>
      <c r="R17" s="84">
        <f t="shared" si="1"/>
        <v>367534422.13</v>
      </c>
      <c r="S17" s="85">
        <f t="shared" si="1"/>
        <v>309677587.02999997</v>
      </c>
      <c r="T17" s="85">
        <f t="shared" si="1"/>
        <v>221359633.58000001</v>
      </c>
      <c r="U17" s="85">
        <f t="shared" si="1"/>
        <v>-33268.559999999998</v>
      </c>
      <c r="V17" s="85">
        <f t="shared" si="1"/>
        <v>0</v>
      </c>
      <c r="W17" s="85">
        <f t="shared" si="1"/>
        <v>309677587.02999997</v>
      </c>
      <c r="X17" s="85">
        <f t="shared" si="1"/>
        <v>220666365.02000001</v>
      </c>
      <c r="Y17" s="85">
        <f t="shared" si="1"/>
        <v>0</v>
      </c>
      <c r="Z17" s="85">
        <f t="shared" si="1"/>
        <v>220666365.02000001</v>
      </c>
    </row>
    <row r="18" spans="1:26" s="94" customFormat="1" ht="29.25" customHeight="1" x14ac:dyDescent="0.2">
      <c r="A18" s="92"/>
      <c r="B18" s="93" t="s">
        <v>239</v>
      </c>
      <c r="C18" s="87" t="s">
        <v>59</v>
      </c>
      <c r="D18" s="88" t="s">
        <v>85</v>
      </c>
      <c r="E18" s="88" t="s">
        <v>83</v>
      </c>
      <c r="F18" s="88" t="s">
        <v>83</v>
      </c>
      <c r="G18" s="88" t="s">
        <v>84</v>
      </c>
      <c r="H18" s="89" t="s">
        <v>83</v>
      </c>
      <c r="I18" s="90"/>
      <c r="J18" s="83" t="e">
        <f>J24+J29+#REF!+J19+J32+#REF!+#REF!+J35+#REF!+#REF!+#REF!</f>
        <v>#REF!</v>
      </c>
      <c r="K18" s="84" t="e">
        <f>K24+K29+#REF!+K19+K32+#REF!+#REF!+K35+#REF!+#REF!+#REF!</f>
        <v>#REF!</v>
      </c>
      <c r="L18" s="84">
        <f>L24+L29+L19+L32+L35+L47+L44+L41</f>
        <v>284014241.49000001</v>
      </c>
      <c r="M18" s="84">
        <f>M24+M29+M19+M32+M35+M47+M44+M41</f>
        <v>9038312.8200000003</v>
      </c>
      <c r="N18" s="84">
        <f>N24+N29+N19+N32+N35+N47+N44+N41+N50+N53+N38+N56</f>
        <v>293052554.31</v>
      </c>
      <c r="O18" s="84">
        <f t="shared" ref="O18:Z18" si="2">O24+O29+O19+O32+O35+O47+O44+O41+O50+O53+O38+O56</f>
        <v>339942293.27999997</v>
      </c>
      <c r="P18" s="84">
        <f t="shared" si="2"/>
        <v>0</v>
      </c>
      <c r="Q18" s="84">
        <f t="shared" si="2"/>
        <v>2138111.1199999996</v>
      </c>
      <c r="R18" s="84">
        <f t="shared" si="2"/>
        <v>295190665.43000001</v>
      </c>
      <c r="S18" s="84">
        <f t="shared" si="2"/>
        <v>255895027.00999999</v>
      </c>
      <c r="T18" s="84">
        <f t="shared" si="2"/>
        <v>168316560.74000001</v>
      </c>
      <c r="U18" s="84">
        <f t="shared" si="2"/>
        <v>0</v>
      </c>
      <c r="V18" s="84">
        <f t="shared" si="2"/>
        <v>0</v>
      </c>
      <c r="W18" s="84">
        <f t="shared" si="2"/>
        <v>255895027.00999999</v>
      </c>
      <c r="X18" s="84">
        <f t="shared" si="2"/>
        <v>168096560.74000001</v>
      </c>
      <c r="Y18" s="84">
        <f t="shared" si="2"/>
        <v>0</v>
      </c>
      <c r="Z18" s="85">
        <f t="shared" si="2"/>
        <v>168096560.74000001</v>
      </c>
    </row>
    <row r="19" spans="1:26" s="94" customFormat="1" ht="25.5" x14ac:dyDescent="0.2">
      <c r="A19" s="92"/>
      <c r="B19" s="101" t="s">
        <v>29</v>
      </c>
      <c r="C19" s="34" t="s">
        <v>59</v>
      </c>
      <c r="D19" s="10" t="s">
        <v>85</v>
      </c>
      <c r="E19" s="16" t="s">
        <v>83</v>
      </c>
      <c r="F19" s="16" t="s">
        <v>83</v>
      </c>
      <c r="G19" s="10" t="s">
        <v>27</v>
      </c>
      <c r="H19" s="11" t="s">
        <v>83</v>
      </c>
      <c r="I19" s="102"/>
      <c r="J19" s="40">
        <f t="shared" ref="J19:X19" si="3">J20+J22</f>
        <v>5729400</v>
      </c>
      <c r="K19" s="97">
        <f t="shared" si="3"/>
        <v>0</v>
      </c>
      <c r="L19" s="97">
        <f t="shared" si="3"/>
        <v>8698560.7400000002</v>
      </c>
      <c r="M19" s="97">
        <f t="shared" si="3"/>
        <v>0</v>
      </c>
      <c r="N19" s="97">
        <f t="shared" si="3"/>
        <v>8698560.7400000002</v>
      </c>
      <c r="O19" s="98">
        <f t="shared" si="3"/>
        <v>8698560.7400000002</v>
      </c>
      <c r="P19" s="98">
        <f t="shared" si="3"/>
        <v>0</v>
      </c>
      <c r="Q19" s="97">
        <f>Q20+Q22</f>
        <v>0</v>
      </c>
      <c r="R19" s="97">
        <f>R20+R22</f>
        <v>8698560.7400000002</v>
      </c>
      <c r="S19" s="98">
        <f t="shared" si="3"/>
        <v>8698560.7400000002</v>
      </c>
      <c r="T19" s="98">
        <f t="shared" si="3"/>
        <v>8698560.7400000002</v>
      </c>
      <c r="U19" s="98">
        <f t="shared" si="3"/>
        <v>0</v>
      </c>
      <c r="V19" s="98">
        <f>V20+V22</f>
        <v>0</v>
      </c>
      <c r="W19" s="98">
        <f>W20+W22</f>
        <v>8698560.7400000002</v>
      </c>
      <c r="X19" s="98">
        <f t="shared" si="3"/>
        <v>8698560.7400000002</v>
      </c>
      <c r="Y19" s="98">
        <f>Y20+Y22</f>
        <v>0</v>
      </c>
      <c r="Z19" s="98">
        <f>Z20+Z22</f>
        <v>8698560.7400000002</v>
      </c>
    </row>
    <row r="20" spans="1:26" s="94" customFormat="1" ht="51" x14ac:dyDescent="0.2">
      <c r="A20" s="92"/>
      <c r="B20" s="100" t="s">
        <v>57</v>
      </c>
      <c r="C20" s="34" t="s">
        <v>59</v>
      </c>
      <c r="D20" s="10" t="s">
        <v>85</v>
      </c>
      <c r="E20" s="16" t="s">
        <v>83</v>
      </c>
      <c r="F20" s="16" t="s">
        <v>83</v>
      </c>
      <c r="G20" s="10" t="s">
        <v>27</v>
      </c>
      <c r="H20" s="11" t="s">
        <v>83</v>
      </c>
      <c r="I20" s="102">
        <v>100</v>
      </c>
      <c r="J20" s="40">
        <f t="shared" ref="J20:Z20" si="4">J21</f>
        <v>5556300</v>
      </c>
      <c r="K20" s="97">
        <f t="shared" si="4"/>
        <v>0</v>
      </c>
      <c r="L20" s="104">
        <f t="shared" si="4"/>
        <v>8605460.7400000002</v>
      </c>
      <c r="M20" s="104">
        <f t="shared" si="4"/>
        <v>0</v>
      </c>
      <c r="N20" s="104">
        <f t="shared" si="4"/>
        <v>8605460.7400000002</v>
      </c>
      <c r="O20" s="104">
        <f t="shared" si="4"/>
        <v>8545460.7400000002</v>
      </c>
      <c r="P20" s="104">
        <f t="shared" si="4"/>
        <v>0</v>
      </c>
      <c r="Q20" s="104">
        <f t="shared" si="4"/>
        <v>0</v>
      </c>
      <c r="R20" s="104">
        <f t="shared" si="4"/>
        <v>8605460.7400000002</v>
      </c>
      <c r="S20" s="104">
        <f t="shared" si="4"/>
        <v>8545460.7400000002</v>
      </c>
      <c r="T20" s="104">
        <f t="shared" si="4"/>
        <v>8605460.7400000002</v>
      </c>
      <c r="U20" s="104">
        <f t="shared" si="4"/>
        <v>0</v>
      </c>
      <c r="V20" s="104">
        <f t="shared" si="4"/>
        <v>0</v>
      </c>
      <c r="W20" s="104">
        <f t="shared" si="4"/>
        <v>8545460.7400000002</v>
      </c>
      <c r="X20" s="104">
        <f t="shared" si="4"/>
        <v>8605460.7400000002</v>
      </c>
      <c r="Y20" s="104">
        <f t="shared" si="4"/>
        <v>0</v>
      </c>
      <c r="Z20" s="104">
        <f t="shared" si="4"/>
        <v>8605460.7400000002</v>
      </c>
    </row>
    <row r="21" spans="1:26" s="94" customFormat="1" ht="25.5" x14ac:dyDescent="0.2">
      <c r="A21" s="92"/>
      <c r="B21" s="100" t="s">
        <v>51</v>
      </c>
      <c r="C21" s="34" t="s">
        <v>59</v>
      </c>
      <c r="D21" s="10" t="s">
        <v>85</v>
      </c>
      <c r="E21" s="16" t="s">
        <v>83</v>
      </c>
      <c r="F21" s="16" t="s">
        <v>83</v>
      </c>
      <c r="G21" s="10" t="s">
        <v>27</v>
      </c>
      <c r="H21" s="11" t="s">
        <v>83</v>
      </c>
      <c r="I21" s="102">
        <v>120</v>
      </c>
      <c r="J21" s="40">
        <v>5556300</v>
      </c>
      <c r="K21" s="97">
        <v>0</v>
      </c>
      <c r="L21" s="104">
        <v>8605460.7400000002</v>
      </c>
      <c r="M21" s="104">
        <v>0</v>
      </c>
      <c r="N21" s="104">
        <v>8605460.7400000002</v>
      </c>
      <c r="O21" s="104">
        <v>8545460.7400000002</v>
      </c>
      <c r="P21" s="104">
        <v>0</v>
      </c>
      <c r="Q21" s="104">
        <v>0</v>
      </c>
      <c r="R21" s="104">
        <v>8605460.7400000002</v>
      </c>
      <c r="S21" s="104">
        <v>8545460.7400000002</v>
      </c>
      <c r="T21" s="104">
        <v>8605460.7400000002</v>
      </c>
      <c r="U21" s="104">
        <v>0</v>
      </c>
      <c r="V21" s="104">
        <v>0</v>
      </c>
      <c r="W21" s="104">
        <v>8545460.7400000002</v>
      </c>
      <c r="X21" s="104">
        <v>8605460.7400000002</v>
      </c>
      <c r="Y21" s="104">
        <v>0</v>
      </c>
      <c r="Z21" s="104">
        <v>8605460.7400000002</v>
      </c>
    </row>
    <row r="22" spans="1:26" s="94" customFormat="1" ht="25.5" x14ac:dyDescent="0.2">
      <c r="A22" s="92"/>
      <c r="B22" s="100" t="s">
        <v>42</v>
      </c>
      <c r="C22" s="34" t="s">
        <v>59</v>
      </c>
      <c r="D22" s="10" t="s">
        <v>85</v>
      </c>
      <c r="E22" s="16" t="s">
        <v>83</v>
      </c>
      <c r="F22" s="16" t="s">
        <v>83</v>
      </c>
      <c r="G22" s="10" t="s">
        <v>27</v>
      </c>
      <c r="H22" s="11" t="s">
        <v>83</v>
      </c>
      <c r="I22" s="102">
        <v>200</v>
      </c>
      <c r="J22" s="40">
        <f t="shared" ref="J22:Z22" si="5">J23</f>
        <v>173100</v>
      </c>
      <c r="K22" s="97">
        <f t="shared" si="5"/>
        <v>0</v>
      </c>
      <c r="L22" s="104">
        <f t="shared" si="5"/>
        <v>93100</v>
      </c>
      <c r="M22" s="104">
        <f t="shared" si="5"/>
        <v>0</v>
      </c>
      <c r="N22" s="104">
        <f t="shared" si="5"/>
        <v>93100</v>
      </c>
      <c r="O22" s="104">
        <f t="shared" si="5"/>
        <v>153100</v>
      </c>
      <c r="P22" s="104">
        <f t="shared" si="5"/>
        <v>0</v>
      </c>
      <c r="Q22" s="104">
        <f t="shared" si="5"/>
        <v>0</v>
      </c>
      <c r="R22" s="104">
        <f t="shared" si="5"/>
        <v>93100</v>
      </c>
      <c r="S22" s="104">
        <f t="shared" si="5"/>
        <v>153100</v>
      </c>
      <c r="T22" s="104">
        <f t="shared" si="5"/>
        <v>93100</v>
      </c>
      <c r="U22" s="104">
        <f t="shared" si="5"/>
        <v>0</v>
      </c>
      <c r="V22" s="104">
        <f t="shared" si="5"/>
        <v>0</v>
      </c>
      <c r="W22" s="104">
        <f t="shared" si="5"/>
        <v>153100</v>
      </c>
      <c r="X22" s="104">
        <f t="shared" si="5"/>
        <v>93100</v>
      </c>
      <c r="Y22" s="104">
        <f t="shared" si="5"/>
        <v>0</v>
      </c>
      <c r="Z22" s="104">
        <f t="shared" si="5"/>
        <v>93100</v>
      </c>
    </row>
    <row r="23" spans="1:26" s="94" customFormat="1" ht="25.5" x14ac:dyDescent="0.2">
      <c r="A23" s="92"/>
      <c r="B23" s="100" t="s">
        <v>44</v>
      </c>
      <c r="C23" s="34" t="s">
        <v>59</v>
      </c>
      <c r="D23" s="10" t="s">
        <v>85</v>
      </c>
      <c r="E23" s="16" t="s">
        <v>83</v>
      </c>
      <c r="F23" s="16" t="s">
        <v>83</v>
      </c>
      <c r="G23" s="10" t="s">
        <v>27</v>
      </c>
      <c r="H23" s="11" t="s">
        <v>83</v>
      </c>
      <c r="I23" s="102">
        <v>240</v>
      </c>
      <c r="J23" s="40">
        <v>173100</v>
      </c>
      <c r="K23" s="97">
        <v>0</v>
      </c>
      <c r="L23" s="104">
        <v>93100</v>
      </c>
      <c r="M23" s="104">
        <v>0</v>
      </c>
      <c r="N23" s="104">
        <v>93100</v>
      </c>
      <c r="O23" s="104">
        <v>153100</v>
      </c>
      <c r="P23" s="104">
        <v>0</v>
      </c>
      <c r="Q23" s="104">
        <v>0</v>
      </c>
      <c r="R23" s="104">
        <v>93100</v>
      </c>
      <c r="S23" s="104">
        <v>153100</v>
      </c>
      <c r="T23" s="104">
        <v>93100</v>
      </c>
      <c r="U23" s="104">
        <v>0</v>
      </c>
      <c r="V23" s="104">
        <v>0</v>
      </c>
      <c r="W23" s="104">
        <v>153100</v>
      </c>
      <c r="X23" s="104">
        <v>93100</v>
      </c>
      <c r="Y23" s="104">
        <v>0</v>
      </c>
      <c r="Z23" s="104">
        <v>93100</v>
      </c>
    </row>
    <row r="24" spans="1:26" ht="18.75" x14ac:dyDescent="0.2">
      <c r="A24" s="76"/>
      <c r="B24" s="100" t="s">
        <v>10</v>
      </c>
      <c r="C24" s="106" t="s">
        <v>59</v>
      </c>
      <c r="D24" s="51" t="s">
        <v>85</v>
      </c>
      <c r="E24" s="16" t="s">
        <v>83</v>
      </c>
      <c r="F24" s="16" t="s">
        <v>83</v>
      </c>
      <c r="G24" s="51" t="s">
        <v>12</v>
      </c>
      <c r="H24" s="11" t="s">
        <v>83</v>
      </c>
      <c r="I24" s="107"/>
      <c r="J24" s="40" t="e">
        <f>J25+#REF!+J27+#REF!+#REF!</f>
        <v>#REF!</v>
      </c>
      <c r="K24" s="97" t="e">
        <f>K25+#REF!+K27+#REF!+#REF!</f>
        <v>#REF!</v>
      </c>
      <c r="L24" s="97">
        <f t="shared" ref="L24:X24" si="6">L25+L27</f>
        <v>0</v>
      </c>
      <c r="M24" s="97">
        <f t="shared" si="6"/>
        <v>0</v>
      </c>
      <c r="N24" s="97">
        <f t="shared" si="6"/>
        <v>0</v>
      </c>
      <c r="O24" s="98">
        <f t="shared" si="6"/>
        <v>5933100</v>
      </c>
      <c r="P24" s="98">
        <f t="shared" si="6"/>
        <v>0</v>
      </c>
      <c r="Q24" s="97">
        <f>Q25+Q27</f>
        <v>0</v>
      </c>
      <c r="R24" s="97">
        <f>R25+R27</f>
        <v>0</v>
      </c>
      <c r="S24" s="98">
        <f t="shared" si="6"/>
        <v>5933100</v>
      </c>
      <c r="T24" s="98">
        <f t="shared" si="6"/>
        <v>1061900</v>
      </c>
      <c r="U24" s="98">
        <f t="shared" si="6"/>
        <v>0</v>
      </c>
      <c r="V24" s="98">
        <f>V25+V27</f>
        <v>0</v>
      </c>
      <c r="W24" s="98">
        <f>W25+W27</f>
        <v>5933100</v>
      </c>
      <c r="X24" s="98">
        <f t="shared" si="6"/>
        <v>1061900</v>
      </c>
      <c r="Y24" s="98">
        <f>Y25+Y27</f>
        <v>0</v>
      </c>
      <c r="Z24" s="98">
        <f>Z25+Z27</f>
        <v>1061900</v>
      </c>
    </row>
    <row r="25" spans="1:26" ht="25.5" hidden="1" x14ac:dyDescent="0.2">
      <c r="A25" s="76"/>
      <c r="B25" s="100" t="s">
        <v>42</v>
      </c>
      <c r="C25" s="39" t="s">
        <v>59</v>
      </c>
      <c r="D25" s="16" t="s">
        <v>85</v>
      </c>
      <c r="E25" s="16" t="s">
        <v>83</v>
      </c>
      <c r="F25" s="16" t="s">
        <v>83</v>
      </c>
      <c r="G25" s="51" t="s">
        <v>12</v>
      </c>
      <c r="H25" s="11" t="s">
        <v>83</v>
      </c>
      <c r="I25" s="102" t="s">
        <v>43</v>
      </c>
      <c r="J25" s="108">
        <f t="shared" ref="J25:Z25" si="7">J26</f>
        <v>115600</v>
      </c>
      <c r="K25" s="1">
        <f t="shared" si="7"/>
        <v>0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09">
        <f t="shared" si="7"/>
        <v>0</v>
      </c>
      <c r="P25" s="109">
        <f t="shared" si="7"/>
        <v>0</v>
      </c>
      <c r="Q25" s="1">
        <f t="shared" si="7"/>
        <v>0</v>
      </c>
      <c r="R25" s="1">
        <f t="shared" si="7"/>
        <v>0</v>
      </c>
      <c r="S25" s="109">
        <f t="shared" si="7"/>
        <v>0</v>
      </c>
      <c r="T25" s="109">
        <f t="shared" si="7"/>
        <v>0</v>
      </c>
      <c r="U25" s="109">
        <f t="shared" si="7"/>
        <v>0</v>
      </c>
      <c r="V25" s="109">
        <f t="shared" si="7"/>
        <v>0</v>
      </c>
      <c r="W25" s="109">
        <f t="shared" si="7"/>
        <v>0</v>
      </c>
      <c r="X25" s="109">
        <f t="shared" si="7"/>
        <v>0</v>
      </c>
      <c r="Y25" s="109">
        <f t="shared" si="7"/>
        <v>0</v>
      </c>
      <c r="Z25" s="109">
        <f t="shared" si="7"/>
        <v>0</v>
      </c>
    </row>
    <row r="26" spans="1:26" ht="25.5" hidden="1" x14ac:dyDescent="0.2">
      <c r="A26" s="76"/>
      <c r="B26" s="100" t="s">
        <v>44</v>
      </c>
      <c r="C26" s="39" t="s">
        <v>59</v>
      </c>
      <c r="D26" s="16" t="s">
        <v>85</v>
      </c>
      <c r="E26" s="16" t="s">
        <v>83</v>
      </c>
      <c r="F26" s="16" t="s">
        <v>83</v>
      </c>
      <c r="G26" s="51" t="s">
        <v>12</v>
      </c>
      <c r="H26" s="11" t="s">
        <v>83</v>
      </c>
      <c r="I26" s="102" t="s">
        <v>45</v>
      </c>
      <c r="J26" s="108">
        <v>115600</v>
      </c>
      <c r="K26" s="1">
        <v>0</v>
      </c>
      <c r="L26" s="111"/>
      <c r="M26" s="111"/>
      <c r="N26" s="111"/>
      <c r="O26" s="112"/>
      <c r="P26" s="112"/>
      <c r="Q26" s="111"/>
      <c r="R26" s="111"/>
      <c r="S26" s="112"/>
      <c r="T26" s="112"/>
      <c r="U26" s="112"/>
      <c r="V26" s="112"/>
      <c r="W26" s="112"/>
      <c r="X26" s="112"/>
      <c r="Y26" s="112"/>
      <c r="Z26" s="112"/>
    </row>
    <row r="27" spans="1:26" ht="25.5" x14ac:dyDescent="0.2">
      <c r="A27" s="76"/>
      <c r="B27" s="100" t="s">
        <v>21</v>
      </c>
      <c r="C27" s="39" t="s">
        <v>59</v>
      </c>
      <c r="D27" s="16" t="s">
        <v>85</v>
      </c>
      <c r="E27" s="16" t="s">
        <v>83</v>
      </c>
      <c r="F27" s="16" t="s">
        <v>83</v>
      </c>
      <c r="G27" s="51" t="s">
        <v>12</v>
      </c>
      <c r="H27" s="11" t="s">
        <v>83</v>
      </c>
      <c r="I27" s="96">
        <v>600</v>
      </c>
      <c r="J27" s="108">
        <f t="shared" ref="J27:Z27" si="8">J28</f>
        <v>624308</v>
      </c>
      <c r="K27" s="1">
        <f t="shared" si="8"/>
        <v>0</v>
      </c>
      <c r="L27" s="112">
        <f t="shared" si="8"/>
        <v>0</v>
      </c>
      <c r="M27" s="112">
        <f t="shared" si="8"/>
        <v>0</v>
      </c>
      <c r="N27" s="112">
        <f t="shared" si="8"/>
        <v>0</v>
      </c>
      <c r="O27" s="112">
        <f t="shared" si="8"/>
        <v>5933100</v>
      </c>
      <c r="P27" s="112">
        <f t="shared" si="8"/>
        <v>0</v>
      </c>
      <c r="Q27" s="112">
        <f t="shared" si="8"/>
        <v>0</v>
      </c>
      <c r="R27" s="112">
        <f t="shared" si="8"/>
        <v>0</v>
      </c>
      <c r="S27" s="112">
        <f t="shared" si="8"/>
        <v>5933100</v>
      </c>
      <c r="T27" s="112">
        <f t="shared" si="8"/>
        <v>1061900</v>
      </c>
      <c r="U27" s="112">
        <f t="shared" si="8"/>
        <v>0</v>
      </c>
      <c r="V27" s="112">
        <f t="shared" si="8"/>
        <v>0</v>
      </c>
      <c r="W27" s="112">
        <f t="shared" si="8"/>
        <v>5933100</v>
      </c>
      <c r="X27" s="112">
        <f t="shared" si="8"/>
        <v>1061900</v>
      </c>
      <c r="Y27" s="112">
        <f t="shared" si="8"/>
        <v>0</v>
      </c>
      <c r="Z27" s="112">
        <f t="shared" si="8"/>
        <v>1061900</v>
      </c>
    </row>
    <row r="28" spans="1:26" ht="18.75" x14ac:dyDescent="0.2">
      <c r="A28" s="76"/>
      <c r="B28" s="100" t="s">
        <v>22</v>
      </c>
      <c r="C28" s="39" t="s">
        <v>59</v>
      </c>
      <c r="D28" s="16" t="s">
        <v>85</v>
      </c>
      <c r="E28" s="16" t="s">
        <v>83</v>
      </c>
      <c r="F28" s="16" t="s">
        <v>83</v>
      </c>
      <c r="G28" s="16" t="s">
        <v>12</v>
      </c>
      <c r="H28" s="11" t="s">
        <v>83</v>
      </c>
      <c r="I28" s="96" t="s">
        <v>23</v>
      </c>
      <c r="J28" s="108">
        <f>494308+130000</f>
        <v>624308</v>
      </c>
      <c r="K28" s="1">
        <v>0</v>
      </c>
      <c r="L28" s="112">
        <v>0</v>
      </c>
      <c r="M28" s="112">
        <v>0</v>
      </c>
      <c r="N28" s="112">
        <v>0</v>
      </c>
      <c r="O28" s="112">
        <f>300000+5633100</f>
        <v>5933100</v>
      </c>
      <c r="P28" s="112">
        <v>0</v>
      </c>
      <c r="Q28" s="112">
        <v>0</v>
      </c>
      <c r="R28" s="112">
        <v>0</v>
      </c>
      <c r="S28" s="112">
        <f>300000+5633100</f>
        <v>5933100</v>
      </c>
      <c r="T28" s="112">
        <f>150000+911900</f>
        <v>1061900</v>
      </c>
      <c r="U28" s="112">
        <v>0</v>
      </c>
      <c r="V28" s="112">
        <v>0</v>
      </c>
      <c r="W28" s="112">
        <f>300000+5633100</f>
        <v>5933100</v>
      </c>
      <c r="X28" s="112">
        <f>150000+911900</f>
        <v>1061900</v>
      </c>
      <c r="Y28" s="112">
        <v>0</v>
      </c>
      <c r="Z28" s="112">
        <f>150000+911900</f>
        <v>1061900</v>
      </c>
    </row>
    <row r="29" spans="1:26" ht="18.75" x14ac:dyDescent="0.2">
      <c r="A29" s="76"/>
      <c r="B29" s="100" t="s">
        <v>90</v>
      </c>
      <c r="C29" s="35" t="s">
        <v>59</v>
      </c>
      <c r="D29" s="22" t="s">
        <v>85</v>
      </c>
      <c r="E29" s="16" t="s">
        <v>83</v>
      </c>
      <c r="F29" s="16" t="s">
        <v>83</v>
      </c>
      <c r="G29" s="15" t="s">
        <v>91</v>
      </c>
      <c r="H29" s="11" t="s">
        <v>83</v>
      </c>
      <c r="I29" s="96"/>
      <c r="J29" s="108">
        <f t="shared" ref="J29:Y30" si="9">J30</f>
        <v>21697000</v>
      </c>
      <c r="K29" s="1">
        <f t="shared" si="9"/>
        <v>0</v>
      </c>
      <c r="L29" s="1">
        <f t="shared" si="9"/>
        <v>138525200</v>
      </c>
      <c r="M29" s="1">
        <f t="shared" si="9"/>
        <v>0</v>
      </c>
      <c r="N29" s="1">
        <f t="shared" si="9"/>
        <v>138525200</v>
      </c>
      <c r="O29" s="109">
        <f t="shared" si="9"/>
        <v>138525200</v>
      </c>
      <c r="P29" s="109">
        <f t="shared" si="9"/>
        <v>0</v>
      </c>
      <c r="Q29" s="1">
        <f t="shared" si="9"/>
        <v>-27181.599999999999</v>
      </c>
      <c r="R29" s="1">
        <f t="shared" si="9"/>
        <v>138498018.40000001</v>
      </c>
      <c r="S29" s="109">
        <f t="shared" si="9"/>
        <v>138525200</v>
      </c>
      <c r="T29" s="109">
        <f t="shared" si="9"/>
        <v>138525200</v>
      </c>
      <c r="U29" s="109">
        <f t="shared" si="9"/>
        <v>0</v>
      </c>
      <c r="V29" s="109">
        <f t="shared" si="9"/>
        <v>0</v>
      </c>
      <c r="W29" s="109">
        <f t="shared" si="9"/>
        <v>138525200</v>
      </c>
      <c r="X29" s="109">
        <f t="shared" si="9"/>
        <v>138525200</v>
      </c>
      <c r="Y29" s="109">
        <f t="shared" si="9"/>
        <v>0</v>
      </c>
      <c r="Z29" s="109">
        <f>Z30</f>
        <v>138525200</v>
      </c>
    </row>
    <row r="30" spans="1:26" ht="25.5" x14ac:dyDescent="0.2">
      <c r="A30" s="76"/>
      <c r="B30" s="100" t="s">
        <v>21</v>
      </c>
      <c r="C30" s="35" t="s">
        <v>59</v>
      </c>
      <c r="D30" s="22" t="s">
        <v>85</v>
      </c>
      <c r="E30" s="16" t="s">
        <v>83</v>
      </c>
      <c r="F30" s="16" t="s">
        <v>83</v>
      </c>
      <c r="G30" s="15" t="s">
        <v>91</v>
      </c>
      <c r="H30" s="11" t="s">
        <v>83</v>
      </c>
      <c r="I30" s="96">
        <v>600</v>
      </c>
      <c r="J30" s="108">
        <f t="shared" si="9"/>
        <v>21697000</v>
      </c>
      <c r="K30" s="1">
        <f t="shared" si="9"/>
        <v>0</v>
      </c>
      <c r="L30" s="1">
        <f t="shared" si="9"/>
        <v>138525200</v>
      </c>
      <c r="M30" s="1">
        <f t="shared" si="9"/>
        <v>0</v>
      </c>
      <c r="N30" s="1">
        <f t="shared" si="9"/>
        <v>138525200</v>
      </c>
      <c r="O30" s="109">
        <f t="shared" si="9"/>
        <v>138525200</v>
      </c>
      <c r="P30" s="109">
        <f t="shared" si="9"/>
        <v>0</v>
      </c>
      <c r="Q30" s="1">
        <f t="shared" si="9"/>
        <v>-27181.599999999999</v>
      </c>
      <c r="R30" s="1">
        <f t="shared" si="9"/>
        <v>138498018.40000001</v>
      </c>
      <c r="S30" s="109">
        <f t="shared" si="9"/>
        <v>138525200</v>
      </c>
      <c r="T30" s="109">
        <f t="shared" si="9"/>
        <v>138525200</v>
      </c>
      <c r="U30" s="109">
        <f t="shared" si="9"/>
        <v>0</v>
      </c>
      <c r="V30" s="109">
        <f t="shared" si="9"/>
        <v>0</v>
      </c>
      <c r="W30" s="109">
        <f t="shared" si="9"/>
        <v>138525200</v>
      </c>
      <c r="X30" s="109">
        <f t="shared" si="9"/>
        <v>138525200</v>
      </c>
      <c r="Y30" s="109">
        <f>Y31</f>
        <v>0</v>
      </c>
      <c r="Z30" s="109">
        <f>Z31</f>
        <v>138525200</v>
      </c>
    </row>
    <row r="31" spans="1:26" ht="18.75" x14ac:dyDescent="0.2">
      <c r="A31" s="76"/>
      <c r="B31" s="100" t="s">
        <v>22</v>
      </c>
      <c r="C31" s="35" t="s">
        <v>59</v>
      </c>
      <c r="D31" s="22" t="s">
        <v>85</v>
      </c>
      <c r="E31" s="16" t="s">
        <v>83</v>
      </c>
      <c r="F31" s="16" t="s">
        <v>83</v>
      </c>
      <c r="G31" s="15" t="s">
        <v>91</v>
      </c>
      <c r="H31" s="11" t="s">
        <v>83</v>
      </c>
      <c r="I31" s="96" t="s">
        <v>23</v>
      </c>
      <c r="J31" s="108">
        <v>21697000</v>
      </c>
      <c r="K31" s="1">
        <v>0</v>
      </c>
      <c r="L31" s="104">
        <v>138525200</v>
      </c>
      <c r="M31" s="104">
        <v>0</v>
      </c>
      <c r="N31" s="104">
        <v>138525200</v>
      </c>
      <c r="O31" s="104">
        <v>138525200</v>
      </c>
      <c r="P31" s="104">
        <v>0</v>
      </c>
      <c r="Q31" s="104">
        <f>-23000-4181.6</f>
        <v>-27181.599999999999</v>
      </c>
      <c r="R31" s="104">
        <f>Q31+N31</f>
        <v>138498018.40000001</v>
      </c>
      <c r="S31" s="104">
        <v>138525200</v>
      </c>
      <c r="T31" s="104">
        <v>138525200</v>
      </c>
      <c r="U31" s="104">
        <v>0</v>
      </c>
      <c r="V31" s="104">
        <v>0</v>
      </c>
      <c r="W31" s="104">
        <v>138525200</v>
      </c>
      <c r="X31" s="104">
        <v>138525200</v>
      </c>
      <c r="Y31" s="104">
        <v>0</v>
      </c>
      <c r="Z31" s="104">
        <v>138525200</v>
      </c>
    </row>
    <row r="32" spans="1:26" ht="25.5" x14ac:dyDescent="0.2">
      <c r="A32" s="76"/>
      <c r="B32" s="100" t="s">
        <v>97</v>
      </c>
      <c r="C32" s="34" t="s">
        <v>59</v>
      </c>
      <c r="D32" s="14" t="s">
        <v>85</v>
      </c>
      <c r="E32" s="10" t="s">
        <v>83</v>
      </c>
      <c r="F32" s="10" t="s">
        <v>83</v>
      </c>
      <c r="G32" s="15" t="s">
        <v>98</v>
      </c>
      <c r="H32" s="11" t="s">
        <v>83</v>
      </c>
      <c r="I32" s="96"/>
      <c r="J32" s="108">
        <f t="shared" ref="J32:Y33" si="10">J33</f>
        <v>13267300</v>
      </c>
      <c r="K32" s="1">
        <f t="shared" si="10"/>
        <v>0</v>
      </c>
      <c r="L32" s="1">
        <f t="shared" si="10"/>
        <v>18377000</v>
      </c>
      <c r="M32" s="1">
        <f t="shared" si="10"/>
        <v>0</v>
      </c>
      <c r="N32" s="1">
        <f t="shared" si="10"/>
        <v>18377000</v>
      </c>
      <c r="O32" s="109">
        <f t="shared" si="10"/>
        <v>18377000</v>
      </c>
      <c r="P32" s="109">
        <f t="shared" si="10"/>
        <v>0</v>
      </c>
      <c r="Q32" s="1">
        <f t="shared" si="10"/>
        <v>-4181.6000000000004</v>
      </c>
      <c r="R32" s="1">
        <f t="shared" si="10"/>
        <v>18372818.399999999</v>
      </c>
      <c r="S32" s="109">
        <f t="shared" si="10"/>
        <v>18377000</v>
      </c>
      <c r="T32" s="109">
        <f t="shared" si="10"/>
        <v>18377000</v>
      </c>
      <c r="U32" s="109">
        <f t="shared" si="10"/>
        <v>0</v>
      </c>
      <c r="V32" s="109">
        <f t="shared" si="10"/>
        <v>0</v>
      </c>
      <c r="W32" s="109">
        <f t="shared" si="10"/>
        <v>18377000</v>
      </c>
      <c r="X32" s="109">
        <f t="shared" si="10"/>
        <v>18377000</v>
      </c>
      <c r="Y32" s="109">
        <f t="shared" si="10"/>
        <v>0</v>
      </c>
      <c r="Z32" s="109">
        <f>Z33</f>
        <v>18377000</v>
      </c>
    </row>
    <row r="33" spans="1:26" ht="34.5" customHeight="1" x14ac:dyDescent="0.2">
      <c r="A33" s="76"/>
      <c r="B33" s="250" t="s">
        <v>21</v>
      </c>
      <c r="C33" s="10" t="s">
        <v>59</v>
      </c>
      <c r="D33" s="14" t="s">
        <v>85</v>
      </c>
      <c r="E33" s="10" t="s">
        <v>83</v>
      </c>
      <c r="F33" s="10" t="s">
        <v>83</v>
      </c>
      <c r="G33" s="15" t="s">
        <v>98</v>
      </c>
      <c r="H33" s="11" t="s">
        <v>83</v>
      </c>
      <c r="I33" s="96">
        <v>600</v>
      </c>
      <c r="J33" s="108">
        <f t="shared" si="10"/>
        <v>13267300</v>
      </c>
      <c r="K33" s="1">
        <f t="shared" si="10"/>
        <v>0</v>
      </c>
      <c r="L33" s="112">
        <f t="shared" si="10"/>
        <v>18377000</v>
      </c>
      <c r="M33" s="112">
        <f t="shared" si="10"/>
        <v>0</v>
      </c>
      <c r="N33" s="112">
        <f t="shared" si="10"/>
        <v>18377000</v>
      </c>
      <c r="O33" s="112">
        <f t="shared" si="10"/>
        <v>18377000</v>
      </c>
      <c r="P33" s="112">
        <f t="shared" si="10"/>
        <v>0</v>
      </c>
      <c r="Q33" s="112">
        <f t="shared" si="10"/>
        <v>-4181.6000000000004</v>
      </c>
      <c r="R33" s="112">
        <f t="shared" si="10"/>
        <v>18372818.399999999</v>
      </c>
      <c r="S33" s="112">
        <f t="shared" si="10"/>
        <v>18377000</v>
      </c>
      <c r="T33" s="112">
        <f t="shared" si="10"/>
        <v>18377000</v>
      </c>
      <c r="U33" s="112">
        <f t="shared" si="10"/>
        <v>0</v>
      </c>
      <c r="V33" s="112">
        <f t="shared" si="10"/>
        <v>0</v>
      </c>
      <c r="W33" s="112">
        <f t="shared" si="10"/>
        <v>18377000</v>
      </c>
      <c r="X33" s="112">
        <f t="shared" si="10"/>
        <v>18377000</v>
      </c>
      <c r="Y33" s="112">
        <f>Y34</f>
        <v>0</v>
      </c>
      <c r="Z33" s="112">
        <f>Z34</f>
        <v>18377000</v>
      </c>
    </row>
    <row r="34" spans="1:26" ht="18.75" x14ac:dyDescent="0.2">
      <c r="A34" s="76"/>
      <c r="B34" s="250" t="s">
        <v>22</v>
      </c>
      <c r="C34" s="10" t="s">
        <v>59</v>
      </c>
      <c r="D34" s="14" t="s">
        <v>85</v>
      </c>
      <c r="E34" s="10" t="s">
        <v>83</v>
      </c>
      <c r="F34" s="10" t="s">
        <v>83</v>
      </c>
      <c r="G34" s="15" t="s">
        <v>98</v>
      </c>
      <c r="H34" s="11" t="s">
        <v>83</v>
      </c>
      <c r="I34" s="96" t="s">
        <v>23</v>
      </c>
      <c r="J34" s="108">
        <v>13267300</v>
      </c>
      <c r="K34" s="1">
        <v>0</v>
      </c>
      <c r="L34" s="112">
        <v>18377000</v>
      </c>
      <c r="M34" s="112">
        <v>0</v>
      </c>
      <c r="N34" s="112">
        <v>18377000</v>
      </c>
      <c r="O34" s="112">
        <v>18377000</v>
      </c>
      <c r="P34" s="112">
        <v>0</v>
      </c>
      <c r="Q34" s="112">
        <v>-4181.6000000000004</v>
      </c>
      <c r="R34" s="112">
        <f>Q34+N34</f>
        <v>18372818.399999999</v>
      </c>
      <c r="S34" s="112">
        <v>18377000</v>
      </c>
      <c r="T34" s="112">
        <v>18377000</v>
      </c>
      <c r="U34" s="112">
        <v>0</v>
      </c>
      <c r="V34" s="112">
        <v>0</v>
      </c>
      <c r="W34" s="112">
        <v>18377000</v>
      </c>
      <c r="X34" s="112">
        <v>18377000</v>
      </c>
      <c r="Y34" s="112">
        <v>0</v>
      </c>
      <c r="Z34" s="112">
        <v>18377000</v>
      </c>
    </row>
    <row r="35" spans="1:26" ht="38.25" x14ac:dyDescent="0.2">
      <c r="A35" s="76"/>
      <c r="B35" s="251" t="s">
        <v>249</v>
      </c>
      <c r="C35" s="22" t="s">
        <v>59</v>
      </c>
      <c r="D35" s="22" t="s">
        <v>85</v>
      </c>
      <c r="E35" s="10" t="s">
        <v>83</v>
      </c>
      <c r="F35" s="10" t="s">
        <v>83</v>
      </c>
      <c r="G35" s="15" t="s">
        <v>154</v>
      </c>
      <c r="H35" s="11" t="s">
        <v>83</v>
      </c>
      <c r="I35" s="96"/>
      <c r="J35" s="108">
        <f t="shared" ref="J35:Y36" si="11">J36</f>
        <v>408746.18</v>
      </c>
      <c r="K35" s="1">
        <f t="shared" si="11"/>
        <v>0</v>
      </c>
      <c r="L35" s="1">
        <f t="shared" si="11"/>
        <v>0</v>
      </c>
      <c r="M35" s="1">
        <f t="shared" si="11"/>
        <v>0</v>
      </c>
      <c r="N35" s="1">
        <f t="shared" si="11"/>
        <v>0</v>
      </c>
      <c r="O35" s="109">
        <f t="shared" si="11"/>
        <v>633900</v>
      </c>
      <c r="P35" s="109">
        <f t="shared" si="11"/>
        <v>0</v>
      </c>
      <c r="Q35" s="1">
        <f t="shared" si="11"/>
        <v>333900</v>
      </c>
      <c r="R35" s="1">
        <f t="shared" si="11"/>
        <v>333900</v>
      </c>
      <c r="S35" s="109">
        <f t="shared" si="11"/>
        <v>633900</v>
      </c>
      <c r="T35" s="109">
        <f t="shared" si="11"/>
        <v>633900</v>
      </c>
      <c r="U35" s="109">
        <f t="shared" si="11"/>
        <v>0</v>
      </c>
      <c r="V35" s="109">
        <f t="shared" si="11"/>
        <v>0</v>
      </c>
      <c r="W35" s="109">
        <f t="shared" si="11"/>
        <v>633900</v>
      </c>
      <c r="X35" s="109">
        <f t="shared" si="11"/>
        <v>633900</v>
      </c>
      <c r="Y35" s="109">
        <f t="shared" si="11"/>
        <v>0</v>
      </c>
      <c r="Z35" s="109">
        <f>Z36</f>
        <v>633900</v>
      </c>
    </row>
    <row r="36" spans="1:26" ht="25.5" x14ac:dyDescent="0.2">
      <c r="A36" s="76"/>
      <c r="B36" s="250" t="s">
        <v>21</v>
      </c>
      <c r="C36" s="22" t="s">
        <v>59</v>
      </c>
      <c r="D36" s="22" t="s">
        <v>85</v>
      </c>
      <c r="E36" s="10" t="s">
        <v>83</v>
      </c>
      <c r="F36" s="10" t="s">
        <v>83</v>
      </c>
      <c r="G36" s="15" t="s">
        <v>154</v>
      </c>
      <c r="H36" s="11" t="s">
        <v>83</v>
      </c>
      <c r="I36" s="96">
        <v>600</v>
      </c>
      <c r="J36" s="108">
        <f t="shared" si="11"/>
        <v>408746.18</v>
      </c>
      <c r="K36" s="1">
        <f t="shared" si="11"/>
        <v>0</v>
      </c>
      <c r="L36" s="1">
        <f t="shared" si="11"/>
        <v>0</v>
      </c>
      <c r="M36" s="1">
        <f t="shared" si="11"/>
        <v>0</v>
      </c>
      <c r="N36" s="1">
        <f t="shared" si="11"/>
        <v>0</v>
      </c>
      <c r="O36" s="109">
        <f t="shared" si="11"/>
        <v>633900</v>
      </c>
      <c r="P36" s="109">
        <f t="shared" si="11"/>
        <v>0</v>
      </c>
      <c r="Q36" s="1">
        <f t="shared" si="11"/>
        <v>333900</v>
      </c>
      <c r="R36" s="1">
        <f t="shared" si="11"/>
        <v>333900</v>
      </c>
      <c r="S36" s="109">
        <f t="shared" si="11"/>
        <v>633900</v>
      </c>
      <c r="T36" s="109">
        <f t="shared" si="11"/>
        <v>633900</v>
      </c>
      <c r="U36" s="109">
        <f t="shared" si="11"/>
        <v>0</v>
      </c>
      <c r="V36" s="109">
        <f t="shared" si="11"/>
        <v>0</v>
      </c>
      <c r="W36" s="109">
        <f t="shared" si="11"/>
        <v>633900</v>
      </c>
      <c r="X36" s="109">
        <f t="shared" si="11"/>
        <v>633900</v>
      </c>
      <c r="Y36" s="109">
        <f>Y37</f>
        <v>0</v>
      </c>
      <c r="Z36" s="109">
        <f>Z37</f>
        <v>633900</v>
      </c>
    </row>
    <row r="37" spans="1:26" ht="18.75" x14ac:dyDescent="0.2">
      <c r="A37" s="76"/>
      <c r="B37" s="250" t="s">
        <v>22</v>
      </c>
      <c r="C37" s="22" t="s">
        <v>59</v>
      </c>
      <c r="D37" s="22" t="s">
        <v>85</v>
      </c>
      <c r="E37" s="10" t="s">
        <v>83</v>
      </c>
      <c r="F37" s="10" t="s">
        <v>83</v>
      </c>
      <c r="G37" s="15" t="s">
        <v>154</v>
      </c>
      <c r="H37" s="11" t="s">
        <v>83</v>
      </c>
      <c r="I37" s="96" t="s">
        <v>23</v>
      </c>
      <c r="J37" s="12">
        <f>408746.18</f>
        <v>408746.18</v>
      </c>
      <c r="K37" s="103">
        <v>0</v>
      </c>
      <c r="L37" s="104">
        <v>0</v>
      </c>
      <c r="M37" s="104">
        <v>0</v>
      </c>
      <c r="N37" s="104">
        <v>0</v>
      </c>
      <c r="O37" s="104">
        <v>633900</v>
      </c>
      <c r="P37" s="104">
        <v>0</v>
      </c>
      <c r="Q37" s="104">
        <v>333900</v>
      </c>
      <c r="R37" s="104">
        <f>Q37</f>
        <v>333900</v>
      </c>
      <c r="S37" s="104">
        <v>633900</v>
      </c>
      <c r="T37" s="104">
        <v>633900</v>
      </c>
      <c r="U37" s="104">
        <v>0</v>
      </c>
      <c r="V37" s="104">
        <v>0</v>
      </c>
      <c r="W37" s="104">
        <v>633900</v>
      </c>
      <c r="X37" s="104">
        <v>633900</v>
      </c>
      <c r="Y37" s="104">
        <v>0</v>
      </c>
      <c r="Z37" s="104">
        <v>633900</v>
      </c>
    </row>
    <row r="38" spans="1:26" ht="25.5" x14ac:dyDescent="0.2">
      <c r="A38" s="76"/>
      <c r="B38" s="251" t="s">
        <v>289</v>
      </c>
      <c r="C38" s="22" t="s">
        <v>59</v>
      </c>
      <c r="D38" s="22" t="s">
        <v>85</v>
      </c>
      <c r="E38" s="10" t="s">
        <v>83</v>
      </c>
      <c r="F38" s="10" t="s">
        <v>83</v>
      </c>
      <c r="G38" s="15" t="s">
        <v>288</v>
      </c>
      <c r="H38" s="11" t="s">
        <v>83</v>
      </c>
      <c r="I38" s="260"/>
      <c r="J38" s="12">
        <f t="shared" ref="J38:Z39" si="12">J39</f>
        <v>408746.18000000005</v>
      </c>
      <c r="K38" s="13">
        <f t="shared" si="12"/>
        <v>0</v>
      </c>
      <c r="L38" s="104">
        <f t="shared" si="12"/>
        <v>116979580.75</v>
      </c>
      <c r="M38" s="104">
        <f t="shared" si="12"/>
        <v>9038312.8200000003</v>
      </c>
      <c r="N38" s="104">
        <f t="shared" si="12"/>
        <v>0</v>
      </c>
      <c r="O38" s="12">
        <f t="shared" si="12"/>
        <v>82927266.269999996</v>
      </c>
      <c r="P38" s="104">
        <f t="shared" si="12"/>
        <v>0</v>
      </c>
      <c r="Q38" s="104">
        <f t="shared" si="12"/>
        <v>2881492.78</v>
      </c>
      <c r="R38" s="104">
        <f t="shared" si="12"/>
        <v>2881492.78</v>
      </c>
      <c r="S38" s="12">
        <f t="shared" si="12"/>
        <v>0</v>
      </c>
      <c r="T38" s="104">
        <f t="shared" si="12"/>
        <v>0</v>
      </c>
      <c r="U38" s="103">
        <f t="shared" si="12"/>
        <v>0</v>
      </c>
      <c r="V38" s="104">
        <f t="shared" si="12"/>
        <v>1896128.63</v>
      </c>
      <c r="W38" s="12">
        <f t="shared" si="12"/>
        <v>1896128.63</v>
      </c>
      <c r="X38" s="104">
        <f t="shared" si="12"/>
        <v>0</v>
      </c>
      <c r="Y38" s="104">
        <f t="shared" si="12"/>
        <v>0</v>
      </c>
      <c r="Z38" s="104">
        <f t="shared" si="12"/>
        <v>0</v>
      </c>
    </row>
    <row r="39" spans="1:26" ht="25.5" x14ac:dyDescent="0.2">
      <c r="A39" s="76"/>
      <c r="B39" s="251" t="s">
        <v>126</v>
      </c>
      <c r="C39" s="22" t="s">
        <v>59</v>
      </c>
      <c r="D39" s="22" t="s">
        <v>85</v>
      </c>
      <c r="E39" s="10" t="s">
        <v>83</v>
      </c>
      <c r="F39" s="10" t="s">
        <v>83</v>
      </c>
      <c r="G39" s="15" t="s">
        <v>288</v>
      </c>
      <c r="H39" s="11" t="s">
        <v>83</v>
      </c>
      <c r="I39" s="260" t="s">
        <v>106</v>
      </c>
      <c r="J39" s="12">
        <f t="shared" si="12"/>
        <v>408746.18000000005</v>
      </c>
      <c r="K39" s="13">
        <f t="shared" si="12"/>
        <v>0</v>
      </c>
      <c r="L39" s="104">
        <f t="shared" si="12"/>
        <v>116979580.75</v>
      </c>
      <c r="M39" s="104">
        <f t="shared" si="12"/>
        <v>9038312.8200000003</v>
      </c>
      <c r="N39" s="104">
        <f t="shared" si="12"/>
        <v>0</v>
      </c>
      <c r="O39" s="12">
        <f t="shared" si="12"/>
        <v>82927266.269999996</v>
      </c>
      <c r="P39" s="104">
        <f t="shared" si="12"/>
        <v>0</v>
      </c>
      <c r="Q39" s="104">
        <f t="shared" si="12"/>
        <v>2881492.78</v>
      </c>
      <c r="R39" s="104">
        <f t="shared" si="12"/>
        <v>2881492.78</v>
      </c>
      <c r="S39" s="12">
        <f t="shared" si="12"/>
        <v>0</v>
      </c>
      <c r="T39" s="104">
        <f t="shared" si="12"/>
        <v>0</v>
      </c>
      <c r="U39" s="103">
        <f t="shared" si="12"/>
        <v>0</v>
      </c>
      <c r="V39" s="104">
        <f t="shared" si="12"/>
        <v>1896128.63</v>
      </c>
      <c r="W39" s="12">
        <f t="shared" si="12"/>
        <v>1896128.63</v>
      </c>
      <c r="X39" s="104">
        <f t="shared" si="12"/>
        <v>0</v>
      </c>
      <c r="Y39" s="104">
        <f t="shared" si="12"/>
        <v>0</v>
      </c>
      <c r="Z39" s="104">
        <f t="shared" si="12"/>
        <v>0</v>
      </c>
    </row>
    <row r="40" spans="1:26" ht="18.75" x14ac:dyDescent="0.2">
      <c r="A40" s="76"/>
      <c r="B40" s="252" t="s">
        <v>108</v>
      </c>
      <c r="C40" s="22" t="s">
        <v>59</v>
      </c>
      <c r="D40" s="22" t="s">
        <v>85</v>
      </c>
      <c r="E40" s="10" t="s">
        <v>83</v>
      </c>
      <c r="F40" s="10" t="s">
        <v>83</v>
      </c>
      <c r="G40" s="15" t="s">
        <v>288</v>
      </c>
      <c r="H40" s="11" t="s">
        <v>83</v>
      </c>
      <c r="I40" s="260" t="s">
        <v>107</v>
      </c>
      <c r="J40" s="12">
        <f>798046.18-390000+700</f>
        <v>408746.18000000005</v>
      </c>
      <c r="K40" s="13">
        <v>0</v>
      </c>
      <c r="L40" s="104">
        <v>116979580.75</v>
      </c>
      <c r="M40" s="104">
        <v>9038312.8200000003</v>
      </c>
      <c r="N40" s="104">
        <v>0</v>
      </c>
      <c r="O40" s="12">
        <f>76979580.75+5947685.52</f>
        <v>82927266.269999996</v>
      </c>
      <c r="P40" s="104">
        <v>0</v>
      </c>
      <c r="Q40" s="104">
        <v>2881492.78</v>
      </c>
      <c r="R40" s="104">
        <f>Q40</f>
        <v>2881492.78</v>
      </c>
      <c r="S40" s="12">
        <v>0</v>
      </c>
      <c r="T40" s="104">
        <v>0</v>
      </c>
      <c r="U40" s="103">
        <v>0</v>
      </c>
      <c r="V40" s="104">
        <v>1896128.63</v>
      </c>
      <c r="W40" s="12">
        <f>V40+S40</f>
        <v>1896128.63</v>
      </c>
      <c r="X40" s="104">
        <v>0</v>
      </c>
      <c r="Y40" s="104">
        <v>0</v>
      </c>
      <c r="Z40" s="104">
        <v>0</v>
      </c>
    </row>
    <row r="41" spans="1:26" ht="89.25" x14ac:dyDescent="0.2">
      <c r="A41" s="76"/>
      <c r="B41" s="251" t="s">
        <v>186</v>
      </c>
      <c r="C41" s="10" t="s">
        <v>59</v>
      </c>
      <c r="D41" s="14" t="s">
        <v>85</v>
      </c>
      <c r="E41" s="10" t="s">
        <v>83</v>
      </c>
      <c r="F41" s="10" t="s">
        <v>83</v>
      </c>
      <c r="G41" s="15" t="s">
        <v>187</v>
      </c>
      <c r="H41" s="11" t="s">
        <v>83</v>
      </c>
      <c r="I41" s="96"/>
      <c r="J41" s="40">
        <f t="shared" ref="J41:Y42" si="13">J42</f>
        <v>600000</v>
      </c>
      <c r="K41" s="97">
        <f t="shared" si="13"/>
        <v>0</v>
      </c>
      <c r="L41" s="97">
        <f t="shared" si="13"/>
        <v>800000</v>
      </c>
      <c r="M41" s="97">
        <f t="shared" si="13"/>
        <v>0</v>
      </c>
      <c r="N41" s="97">
        <f t="shared" si="13"/>
        <v>800000</v>
      </c>
      <c r="O41" s="98">
        <f t="shared" si="13"/>
        <v>800000</v>
      </c>
      <c r="P41" s="98">
        <f t="shared" si="13"/>
        <v>0</v>
      </c>
      <c r="Q41" s="97">
        <f t="shared" si="13"/>
        <v>0</v>
      </c>
      <c r="R41" s="97">
        <f t="shared" si="13"/>
        <v>800000</v>
      </c>
      <c r="S41" s="98">
        <f t="shared" si="13"/>
        <v>800000</v>
      </c>
      <c r="T41" s="98">
        <f t="shared" si="13"/>
        <v>800000</v>
      </c>
      <c r="U41" s="98">
        <f t="shared" si="13"/>
        <v>0</v>
      </c>
      <c r="V41" s="98">
        <f t="shared" si="13"/>
        <v>0</v>
      </c>
      <c r="W41" s="98">
        <f t="shared" si="13"/>
        <v>800000</v>
      </c>
      <c r="X41" s="98">
        <f t="shared" si="13"/>
        <v>800000</v>
      </c>
      <c r="Y41" s="98">
        <f t="shared" si="13"/>
        <v>0</v>
      </c>
      <c r="Z41" s="98">
        <f>Z42</f>
        <v>800000</v>
      </c>
    </row>
    <row r="42" spans="1:26" ht="25.5" x14ac:dyDescent="0.2">
      <c r="A42" s="76"/>
      <c r="B42" s="250" t="s">
        <v>21</v>
      </c>
      <c r="C42" s="10" t="s">
        <v>59</v>
      </c>
      <c r="D42" s="14" t="s">
        <v>85</v>
      </c>
      <c r="E42" s="10" t="s">
        <v>83</v>
      </c>
      <c r="F42" s="10" t="s">
        <v>83</v>
      </c>
      <c r="G42" s="15" t="s">
        <v>187</v>
      </c>
      <c r="H42" s="11" t="s">
        <v>83</v>
      </c>
      <c r="I42" s="96" t="s">
        <v>96</v>
      </c>
      <c r="J42" s="40">
        <f t="shared" si="13"/>
        <v>600000</v>
      </c>
      <c r="K42" s="97">
        <f t="shared" si="13"/>
        <v>0</v>
      </c>
      <c r="L42" s="112">
        <f t="shared" si="13"/>
        <v>800000</v>
      </c>
      <c r="M42" s="112">
        <f t="shared" si="13"/>
        <v>0</v>
      </c>
      <c r="N42" s="112">
        <f t="shared" si="13"/>
        <v>800000</v>
      </c>
      <c r="O42" s="112">
        <f t="shared" si="13"/>
        <v>800000</v>
      </c>
      <c r="P42" s="112">
        <f t="shared" si="13"/>
        <v>0</v>
      </c>
      <c r="Q42" s="112">
        <f t="shared" si="13"/>
        <v>0</v>
      </c>
      <c r="R42" s="112">
        <f t="shared" si="13"/>
        <v>800000</v>
      </c>
      <c r="S42" s="112">
        <f t="shared" si="13"/>
        <v>800000</v>
      </c>
      <c r="T42" s="112">
        <f t="shared" si="13"/>
        <v>800000</v>
      </c>
      <c r="U42" s="112">
        <f t="shared" si="13"/>
        <v>0</v>
      </c>
      <c r="V42" s="112">
        <f t="shared" si="13"/>
        <v>0</v>
      </c>
      <c r="W42" s="112">
        <f t="shared" si="13"/>
        <v>800000</v>
      </c>
      <c r="X42" s="112">
        <f t="shared" si="13"/>
        <v>800000</v>
      </c>
      <c r="Y42" s="112">
        <f>Y43</f>
        <v>0</v>
      </c>
      <c r="Z42" s="112">
        <f>Z43</f>
        <v>800000</v>
      </c>
    </row>
    <row r="43" spans="1:26" ht="18.75" x14ac:dyDescent="0.2">
      <c r="A43" s="76"/>
      <c r="B43" s="250" t="s">
        <v>22</v>
      </c>
      <c r="C43" s="10" t="s">
        <v>59</v>
      </c>
      <c r="D43" s="14" t="s">
        <v>85</v>
      </c>
      <c r="E43" s="10" t="s">
        <v>83</v>
      </c>
      <c r="F43" s="10" t="s">
        <v>83</v>
      </c>
      <c r="G43" s="15" t="s">
        <v>187</v>
      </c>
      <c r="H43" s="11" t="s">
        <v>83</v>
      </c>
      <c r="I43" s="96" t="s">
        <v>23</v>
      </c>
      <c r="J43" s="40">
        <v>600000</v>
      </c>
      <c r="K43" s="97">
        <v>0</v>
      </c>
      <c r="L43" s="112">
        <v>800000</v>
      </c>
      <c r="M43" s="112">
        <v>0</v>
      </c>
      <c r="N43" s="112">
        <v>800000</v>
      </c>
      <c r="O43" s="112">
        <v>800000</v>
      </c>
      <c r="P43" s="112">
        <v>0</v>
      </c>
      <c r="Q43" s="112">
        <v>0</v>
      </c>
      <c r="R43" s="112">
        <v>800000</v>
      </c>
      <c r="S43" s="112">
        <v>800000</v>
      </c>
      <c r="T43" s="112">
        <v>800000</v>
      </c>
      <c r="U43" s="112">
        <v>0</v>
      </c>
      <c r="V43" s="112">
        <v>0</v>
      </c>
      <c r="W43" s="112">
        <v>800000</v>
      </c>
      <c r="X43" s="112">
        <v>800000</v>
      </c>
      <c r="Y43" s="112">
        <v>0</v>
      </c>
      <c r="Z43" s="112">
        <v>800000</v>
      </c>
    </row>
    <row r="44" spans="1:26" ht="63.75" x14ac:dyDescent="0.2">
      <c r="A44" s="76"/>
      <c r="B44" s="251" t="s">
        <v>208</v>
      </c>
      <c r="C44" s="22" t="s">
        <v>59</v>
      </c>
      <c r="D44" s="22" t="s">
        <v>85</v>
      </c>
      <c r="E44" s="10" t="s">
        <v>83</v>
      </c>
      <c r="F44" s="10" t="s">
        <v>83</v>
      </c>
      <c r="G44" s="15" t="s">
        <v>179</v>
      </c>
      <c r="H44" s="11" t="s">
        <v>83</v>
      </c>
      <c r="I44" s="96"/>
      <c r="J44" s="12"/>
      <c r="K44" s="103"/>
      <c r="L44" s="104">
        <f t="shared" ref="L44:Z45" si="14">L45</f>
        <v>116979580.75</v>
      </c>
      <c r="M44" s="104">
        <f t="shared" si="14"/>
        <v>9038312.8200000003</v>
      </c>
      <c r="N44" s="104">
        <f t="shared" si="14"/>
        <v>126017893.56999999</v>
      </c>
      <c r="O44" s="104">
        <f t="shared" si="14"/>
        <v>82927266.269999996</v>
      </c>
      <c r="P44" s="104">
        <f t="shared" si="14"/>
        <v>0</v>
      </c>
      <c r="Q44" s="104">
        <f t="shared" si="14"/>
        <v>-2881492.78</v>
      </c>
      <c r="R44" s="104">
        <f t="shared" si="14"/>
        <v>123136400.78999999</v>
      </c>
      <c r="S44" s="104">
        <f t="shared" si="14"/>
        <v>82927266.269999996</v>
      </c>
      <c r="T44" s="104">
        <f t="shared" si="14"/>
        <v>0</v>
      </c>
      <c r="U44" s="104">
        <f t="shared" si="14"/>
        <v>0</v>
      </c>
      <c r="V44" s="104">
        <f t="shared" si="14"/>
        <v>-1896128.63</v>
      </c>
      <c r="W44" s="104">
        <f t="shared" si="14"/>
        <v>81031137.640000001</v>
      </c>
      <c r="X44" s="104">
        <f t="shared" si="14"/>
        <v>0</v>
      </c>
      <c r="Y44" s="104">
        <f t="shared" si="14"/>
        <v>0</v>
      </c>
      <c r="Z44" s="104">
        <f t="shared" si="14"/>
        <v>0</v>
      </c>
    </row>
    <row r="45" spans="1:26" ht="25.5" x14ac:dyDescent="0.2">
      <c r="A45" s="76"/>
      <c r="B45" s="251" t="s">
        <v>126</v>
      </c>
      <c r="C45" s="22" t="s">
        <v>59</v>
      </c>
      <c r="D45" s="22" t="s">
        <v>85</v>
      </c>
      <c r="E45" s="10" t="s">
        <v>83</v>
      </c>
      <c r="F45" s="10" t="s">
        <v>83</v>
      </c>
      <c r="G45" s="15" t="s">
        <v>179</v>
      </c>
      <c r="H45" s="11" t="s">
        <v>83</v>
      </c>
      <c r="I45" s="96" t="s">
        <v>106</v>
      </c>
      <c r="J45" s="12"/>
      <c r="K45" s="103"/>
      <c r="L45" s="104">
        <f t="shared" si="14"/>
        <v>116979580.75</v>
      </c>
      <c r="M45" s="104">
        <f t="shared" si="14"/>
        <v>9038312.8200000003</v>
      </c>
      <c r="N45" s="104">
        <f t="shared" si="14"/>
        <v>126017893.56999999</v>
      </c>
      <c r="O45" s="104">
        <f t="shared" si="14"/>
        <v>82927266.269999996</v>
      </c>
      <c r="P45" s="104">
        <f t="shared" si="14"/>
        <v>0</v>
      </c>
      <c r="Q45" s="104">
        <f t="shared" si="14"/>
        <v>-2881492.78</v>
      </c>
      <c r="R45" s="104">
        <f t="shared" si="14"/>
        <v>123136400.78999999</v>
      </c>
      <c r="S45" s="104">
        <f t="shared" si="14"/>
        <v>82927266.269999996</v>
      </c>
      <c r="T45" s="104">
        <f t="shared" si="14"/>
        <v>0</v>
      </c>
      <c r="U45" s="104">
        <f t="shared" si="14"/>
        <v>0</v>
      </c>
      <c r="V45" s="104">
        <f t="shared" si="14"/>
        <v>-1896128.63</v>
      </c>
      <c r="W45" s="104">
        <f t="shared" si="14"/>
        <v>81031137.640000001</v>
      </c>
      <c r="X45" s="104">
        <f t="shared" si="14"/>
        <v>0</v>
      </c>
      <c r="Y45" s="104">
        <f t="shared" si="14"/>
        <v>0</v>
      </c>
      <c r="Z45" s="104">
        <f t="shared" si="14"/>
        <v>0</v>
      </c>
    </row>
    <row r="46" spans="1:26" ht="18.75" x14ac:dyDescent="0.2">
      <c r="A46" s="76"/>
      <c r="B46" s="252" t="s">
        <v>108</v>
      </c>
      <c r="C46" s="22" t="s">
        <v>59</v>
      </c>
      <c r="D46" s="22" t="s">
        <v>85</v>
      </c>
      <c r="E46" s="10" t="s">
        <v>83</v>
      </c>
      <c r="F46" s="10" t="s">
        <v>83</v>
      </c>
      <c r="G46" s="15" t="s">
        <v>179</v>
      </c>
      <c r="H46" s="11" t="s">
        <v>83</v>
      </c>
      <c r="I46" s="96" t="s">
        <v>107</v>
      </c>
      <c r="J46" s="12"/>
      <c r="K46" s="103"/>
      <c r="L46" s="104">
        <v>116979580.75</v>
      </c>
      <c r="M46" s="104">
        <v>9038312.8200000003</v>
      </c>
      <c r="N46" s="104">
        <f>M46+L46</f>
        <v>126017893.56999999</v>
      </c>
      <c r="O46" s="104">
        <f>76979580.75+5947685.52</f>
        <v>82927266.269999996</v>
      </c>
      <c r="P46" s="104">
        <v>0</v>
      </c>
      <c r="Q46" s="104">
        <v>-2881492.78</v>
      </c>
      <c r="R46" s="104">
        <f>Q46+N46</f>
        <v>123136400.78999999</v>
      </c>
      <c r="S46" s="104">
        <f>76979580.75+5947685.52</f>
        <v>82927266.269999996</v>
      </c>
      <c r="T46" s="104">
        <v>0</v>
      </c>
      <c r="U46" s="104">
        <v>0</v>
      </c>
      <c r="V46" s="104">
        <v>-1896128.63</v>
      </c>
      <c r="W46" s="104">
        <f>S46+V46</f>
        <v>81031137.640000001</v>
      </c>
      <c r="X46" s="104">
        <v>0</v>
      </c>
      <c r="Y46" s="104">
        <v>0</v>
      </c>
      <c r="Z46" s="104">
        <v>0</v>
      </c>
    </row>
    <row r="47" spans="1:26" ht="114.75" x14ac:dyDescent="0.2">
      <c r="A47" s="76"/>
      <c r="B47" s="277" t="s">
        <v>207</v>
      </c>
      <c r="C47" s="22" t="s">
        <v>59</v>
      </c>
      <c r="D47" s="22" t="s">
        <v>85</v>
      </c>
      <c r="E47" s="10" t="s">
        <v>83</v>
      </c>
      <c r="F47" s="10" t="s">
        <v>83</v>
      </c>
      <c r="G47" s="15" t="s">
        <v>172</v>
      </c>
      <c r="H47" s="11" t="s">
        <v>83</v>
      </c>
      <c r="I47" s="96"/>
      <c r="J47" s="108"/>
      <c r="K47" s="1"/>
      <c r="L47" s="109">
        <f t="shared" ref="L47:Z48" si="15">L48</f>
        <v>633900</v>
      </c>
      <c r="M47" s="109">
        <f t="shared" si="15"/>
        <v>0</v>
      </c>
      <c r="N47" s="109">
        <f t="shared" si="15"/>
        <v>633900</v>
      </c>
      <c r="O47" s="109">
        <f t="shared" si="15"/>
        <v>0</v>
      </c>
      <c r="P47" s="109">
        <f t="shared" si="15"/>
        <v>0</v>
      </c>
      <c r="Q47" s="109">
        <f t="shared" si="15"/>
        <v>-333900</v>
      </c>
      <c r="R47" s="109">
        <f t="shared" si="15"/>
        <v>300000</v>
      </c>
      <c r="S47" s="110">
        <f t="shared" si="15"/>
        <v>0</v>
      </c>
      <c r="T47" s="109">
        <f t="shared" si="15"/>
        <v>0</v>
      </c>
      <c r="U47" s="109">
        <f t="shared" si="15"/>
        <v>0</v>
      </c>
      <c r="V47" s="109">
        <f t="shared" si="15"/>
        <v>0</v>
      </c>
      <c r="W47" s="109">
        <f t="shared" si="15"/>
        <v>0</v>
      </c>
      <c r="X47" s="109">
        <f t="shared" si="15"/>
        <v>0</v>
      </c>
      <c r="Y47" s="109">
        <f t="shared" si="15"/>
        <v>0</v>
      </c>
      <c r="Z47" s="109">
        <f t="shared" si="15"/>
        <v>0</v>
      </c>
    </row>
    <row r="48" spans="1:26" ht="25.5" x14ac:dyDescent="0.2">
      <c r="A48" s="76"/>
      <c r="B48" s="250" t="s">
        <v>21</v>
      </c>
      <c r="C48" s="22" t="s">
        <v>59</v>
      </c>
      <c r="D48" s="22" t="s">
        <v>85</v>
      </c>
      <c r="E48" s="10" t="s">
        <v>83</v>
      </c>
      <c r="F48" s="10" t="s">
        <v>83</v>
      </c>
      <c r="G48" s="15" t="s">
        <v>172</v>
      </c>
      <c r="H48" s="11" t="s">
        <v>83</v>
      </c>
      <c r="I48" s="96">
        <v>600</v>
      </c>
      <c r="J48" s="108"/>
      <c r="K48" s="1"/>
      <c r="L48" s="104">
        <f t="shared" si="15"/>
        <v>633900</v>
      </c>
      <c r="M48" s="104">
        <f t="shared" si="15"/>
        <v>0</v>
      </c>
      <c r="N48" s="104">
        <f t="shared" si="15"/>
        <v>633900</v>
      </c>
      <c r="O48" s="104">
        <f t="shared" si="15"/>
        <v>0</v>
      </c>
      <c r="P48" s="104">
        <f t="shared" si="15"/>
        <v>0</v>
      </c>
      <c r="Q48" s="104">
        <f t="shared" si="15"/>
        <v>-333900</v>
      </c>
      <c r="R48" s="104">
        <f t="shared" si="15"/>
        <v>300000</v>
      </c>
      <c r="S48" s="105">
        <f t="shared" si="15"/>
        <v>0</v>
      </c>
      <c r="T48" s="104">
        <f t="shared" si="15"/>
        <v>0</v>
      </c>
      <c r="U48" s="104">
        <f t="shared" si="15"/>
        <v>0</v>
      </c>
      <c r="V48" s="104">
        <f t="shared" si="15"/>
        <v>0</v>
      </c>
      <c r="W48" s="104">
        <f t="shared" si="15"/>
        <v>0</v>
      </c>
      <c r="X48" s="104">
        <f t="shared" si="15"/>
        <v>0</v>
      </c>
      <c r="Y48" s="104">
        <f t="shared" si="15"/>
        <v>0</v>
      </c>
      <c r="Z48" s="104">
        <f t="shared" si="15"/>
        <v>0</v>
      </c>
    </row>
    <row r="49" spans="1:26" ht="18.75" x14ac:dyDescent="0.2">
      <c r="A49" s="76"/>
      <c r="B49" s="250" t="s">
        <v>22</v>
      </c>
      <c r="C49" s="22" t="s">
        <v>59</v>
      </c>
      <c r="D49" s="22" t="s">
        <v>85</v>
      </c>
      <c r="E49" s="10" t="s">
        <v>83</v>
      </c>
      <c r="F49" s="10" t="s">
        <v>83</v>
      </c>
      <c r="G49" s="15" t="s">
        <v>172</v>
      </c>
      <c r="H49" s="11" t="s">
        <v>83</v>
      </c>
      <c r="I49" s="96" t="s">
        <v>23</v>
      </c>
      <c r="J49" s="108"/>
      <c r="K49" s="1"/>
      <c r="L49" s="104">
        <f>16349.09+617550.91</f>
        <v>633900</v>
      </c>
      <c r="M49" s="104">
        <v>0</v>
      </c>
      <c r="N49" s="104">
        <f>16349.09+617550.91</f>
        <v>633900</v>
      </c>
      <c r="O49" s="104">
        <v>0</v>
      </c>
      <c r="P49" s="104">
        <v>0</v>
      </c>
      <c r="Q49" s="104">
        <v>-333900</v>
      </c>
      <c r="R49" s="104">
        <f>Q49+N49</f>
        <v>300000</v>
      </c>
      <c r="S49" s="105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</row>
    <row r="50" spans="1:26" ht="63.75" x14ac:dyDescent="0.2">
      <c r="A50" s="76"/>
      <c r="B50" s="250" t="s">
        <v>299</v>
      </c>
      <c r="C50" s="10" t="s">
        <v>59</v>
      </c>
      <c r="D50" s="14" t="s">
        <v>85</v>
      </c>
      <c r="E50" s="10" t="s">
        <v>83</v>
      </c>
      <c r="F50" s="10" t="s">
        <v>83</v>
      </c>
      <c r="G50" s="15" t="s">
        <v>281</v>
      </c>
      <c r="H50" s="11" t="s">
        <v>85</v>
      </c>
      <c r="I50" s="96"/>
      <c r="J50" s="12">
        <f t="shared" ref="J50:T51" si="16">J51</f>
        <v>0</v>
      </c>
      <c r="K50" s="13">
        <f t="shared" si="16"/>
        <v>0</v>
      </c>
      <c r="L50" s="13">
        <f t="shared" si="16"/>
        <v>2256500</v>
      </c>
      <c r="M50" s="13">
        <f t="shared" si="16"/>
        <v>0</v>
      </c>
      <c r="N50" s="104">
        <f t="shared" si="16"/>
        <v>0</v>
      </c>
      <c r="O50" s="288">
        <f t="shared" si="16"/>
        <v>0</v>
      </c>
      <c r="P50" s="13">
        <f t="shared" si="16"/>
        <v>0</v>
      </c>
      <c r="Q50" s="103">
        <f t="shared" si="16"/>
        <v>1100000</v>
      </c>
      <c r="R50" s="104">
        <f t="shared" si="16"/>
        <v>1100000</v>
      </c>
      <c r="S50" s="105">
        <f t="shared" si="16"/>
        <v>0</v>
      </c>
      <c r="T50" s="288">
        <f t="shared" si="16"/>
        <v>0</v>
      </c>
      <c r="U50" s="103"/>
      <c r="V50" s="104">
        <f t="shared" ref="V50:Z51" si="17">V51</f>
        <v>0</v>
      </c>
      <c r="W50" s="105">
        <f t="shared" si="17"/>
        <v>0</v>
      </c>
      <c r="X50" s="104">
        <f t="shared" si="17"/>
        <v>0</v>
      </c>
      <c r="Y50" s="104">
        <f t="shared" si="17"/>
        <v>0</v>
      </c>
      <c r="Z50" s="104">
        <f t="shared" si="17"/>
        <v>0</v>
      </c>
    </row>
    <row r="51" spans="1:26" ht="25.5" x14ac:dyDescent="0.2">
      <c r="A51" s="76"/>
      <c r="B51" s="250" t="s">
        <v>21</v>
      </c>
      <c r="C51" s="10" t="s">
        <v>59</v>
      </c>
      <c r="D51" s="14" t="s">
        <v>85</v>
      </c>
      <c r="E51" s="10" t="s">
        <v>83</v>
      </c>
      <c r="F51" s="10" t="s">
        <v>83</v>
      </c>
      <c r="G51" s="15" t="s">
        <v>281</v>
      </c>
      <c r="H51" s="11" t="s">
        <v>85</v>
      </c>
      <c r="I51" s="96" t="s">
        <v>96</v>
      </c>
      <c r="J51" s="12">
        <f t="shared" si="16"/>
        <v>0</v>
      </c>
      <c r="K51" s="13">
        <f t="shared" si="16"/>
        <v>0</v>
      </c>
      <c r="L51" s="13">
        <f>L52</f>
        <v>2256500</v>
      </c>
      <c r="M51" s="13">
        <f t="shared" si="16"/>
        <v>0</v>
      </c>
      <c r="N51" s="104">
        <f t="shared" si="16"/>
        <v>0</v>
      </c>
      <c r="O51" s="288">
        <f t="shared" si="16"/>
        <v>0</v>
      </c>
      <c r="P51" s="13">
        <f t="shared" si="16"/>
        <v>0</v>
      </c>
      <c r="Q51" s="103">
        <f t="shared" si="16"/>
        <v>1100000</v>
      </c>
      <c r="R51" s="104">
        <f t="shared" si="16"/>
        <v>1100000</v>
      </c>
      <c r="S51" s="105">
        <f t="shared" si="16"/>
        <v>0</v>
      </c>
      <c r="T51" s="288">
        <f t="shared" si="16"/>
        <v>0</v>
      </c>
      <c r="U51" s="103"/>
      <c r="V51" s="104">
        <f t="shared" si="17"/>
        <v>0</v>
      </c>
      <c r="W51" s="105">
        <f t="shared" si="17"/>
        <v>0</v>
      </c>
      <c r="X51" s="104">
        <f t="shared" si="17"/>
        <v>0</v>
      </c>
      <c r="Y51" s="104">
        <f t="shared" si="17"/>
        <v>0</v>
      </c>
      <c r="Z51" s="104">
        <f t="shared" si="17"/>
        <v>0</v>
      </c>
    </row>
    <row r="52" spans="1:26" ht="18.75" x14ac:dyDescent="0.2">
      <c r="A52" s="76"/>
      <c r="B52" s="250" t="s">
        <v>22</v>
      </c>
      <c r="C52" s="10" t="s">
        <v>59</v>
      </c>
      <c r="D52" s="14" t="s">
        <v>85</v>
      </c>
      <c r="E52" s="10" t="s">
        <v>83</v>
      </c>
      <c r="F52" s="10" t="s">
        <v>83</v>
      </c>
      <c r="G52" s="15" t="s">
        <v>281</v>
      </c>
      <c r="H52" s="11" t="s">
        <v>85</v>
      </c>
      <c r="I52" s="96" t="s">
        <v>23</v>
      </c>
      <c r="J52" s="12">
        <v>0</v>
      </c>
      <c r="K52" s="13">
        <v>0</v>
      </c>
      <c r="L52" s="13">
        <v>2256500</v>
      </c>
      <c r="M52" s="13">
        <v>0</v>
      </c>
      <c r="N52" s="104">
        <v>0</v>
      </c>
      <c r="O52" s="288">
        <v>0</v>
      </c>
      <c r="P52" s="13">
        <v>0</v>
      </c>
      <c r="Q52" s="103">
        <f>1023000+77000</f>
        <v>1100000</v>
      </c>
      <c r="R52" s="104">
        <f>Q52</f>
        <v>1100000</v>
      </c>
      <c r="S52" s="105">
        <v>0</v>
      </c>
      <c r="T52" s="288">
        <v>0</v>
      </c>
      <c r="U52" s="103"/>
      <c r="V52" s="104">
        <v>0</v>
      </c>
      <c r="W52" s="105">
        <v>0</v>
      </c>
      <c r="X52" s="104">
        <v>0</v>
      </c>
      <c r="Y52" s="104">
        <v>0</v>
      </c>
      <c r="Z52" s="104">
        <v>0</v>
      </c>
    </row>
    <row r="53" spans="1:26" ht="38.25" x14ac:dyDescent="0.2">
      <c r="A53" s="76"/>
      <c r="B53" s="100" t="s">
        <v>244</v>
      </c>
      <c r="C53" s="34" t="s">
        <v>59</v>
      </c>
      <c r="D53" s="10" t="s">
        <v>85</v>
      </c>
      <c r="E53" s="10" t="s">
        <v>83</v>
      </c>
      <c r="F53" s="10" t="s">
        <v>83</v>
      </c>
      <c r="G53" s="16" t="s">
        <v>274</v>
      </c>
      <c r="H53" s="11" t="s">
        <v>83</v>
      </c>
      <c r="I53" s="260"/>
      <c r="J53" s="8" t="e">
        <f>J54+#REF!</f>
        <v>#REF!</v>
      </c>
      <c r="K53" s="9" t="e">
        <f>K54+#REF!</f>
        <v>#REF!</v>
      </c>
      <c r="L53" s="112">
        <f t="shared" ref="L53:Z53" si="18">L54</f>
        <v>0</v>
      </c>
      <c r="M53" s="112">
        <f t="shared" si="18"/>
        <v>0</v>
      </c>
      <c r="N53" s="112">
        <f t="shared" si="18"/>
        <v>0</v>
      </c>
      <c r="O53" s="111">
        <f t="shared" si="18"/>
        <v>1120000</v>
      </c>
      <c r="P53" s="112">
        <f t="shared" si="18"/>
        <v>0</v>
      </c>
      <c r="Q53" s="112">
        <f t="shared" si="18"/>
        <v>950000</v>
      </c>
      <c r="R53" s="112">
        <f t="shared" si="18"/>
        <v>950000</v>
      </c>
      <c r="S53" s="113">
        <f t="shared" si="18"/>
        <v>0</v>
      </c>
      <c r="T53" s="112">
        <f t="shared" si="18"/>
        <v>220000</v>
      </c>
      <c r="U53" s="111">
        <f t="shared" si="18"/>
        <v>0</v>
      </c>
      <c r="V53" s="112">
        <f t="shared" si="18"/>
        <v>0</v>
      </c>
      <c r="W53" s="113">
        <f t="shared" si="18"/>
        <v>0</v>
      </c>
      <c r="X53" s="112">
        <f t="shared" si="18"/>
        <v>0</v>
      </c>
      <c r="Y53" s="112">
        <f t="shared" si="18"/>
        <v>0</v>
      </c>
      <c r="Z53" s="112">
        <f t="shared" si="18"/>
        <v>0</v>
      </c>
    </row>
    <row r="54" spans="1:26" ht="25.5" x14ac:dyDescent="0.2">
      <c r="A54" s="76"/>
      <c r="B54" s="100" t="s">
        <v>21</v>
      </c>
      <c r="C54" s="34" t="s">
        <v>59</v>
      </c>
      <c r="D54" s="10" t="s">
        <v>85</v>
      </c>
      <c r="E54" s="10" t="s">
        <v>83</v>
      </c>
      <c r="F54" s="10" t="s">
        <v>83</v>
      </c>
      <c r="G54" s="16" t="s">
        <v>274</v>
      </c>
      <c r="H54" s="11" t="s">
        <v>83</v>
      </c>
      <c r="I54" s="260" t="s">
        <v>96</v>
      </c>
      <c r="J54" s="8">
        <f t="shared" ref="J54:Z54" si="19">J55</f>
        <v>60000</v>
      </c>
      <c r="K54" s="9">
        <f t="shared" si="19"/>
        <v>0</v>
      </c>
      <c r="L54" s="112">
        <f t="shared" si="19"/>
        <v>0</v>
      </c>
      <c r="M54" s="112">
        <f t="shared" si="19"/>
        <v>0</v>
      </c>
      <c r="N54" s="112">
        <f t="shared" si="19"/>
        <v>0</v>
      </c>
      <c r="O54" s="111">
        <f t="shared" si="19"/>
        <v>1120000</v>
      </c>
      <c r="P54" s="112">
        <f t="shared" si="19"/>
        <v>0</v>
      </c>
      <c r="Q54" s="112">
        <f t="shared" si="19"/>
        <v>950000</v>
      </c>
      <c r="R54" s="112">
        <f t="shared" si="19"/>
        <v>950000</v>
      </c>
      <c r="S54" s="113">
        <f t="shared" si="19"/>
        <v>0</v>
      </c>
      <c r="T54" s="112">
        <f t="shared" si="19"/>
        <v>220000</v>
      </c>
      <c r="U54" s="111">
        <f t="shared" si="19"/>
        <v>0</v>
      </c>
      <c r="V54" s="112">
        <f t="shared" si="19"/>
        <v>0</v>
      </c>
      <c r="W54" s="113">
        <f t="shared" si="19"/>
        <v>0</v>
      </c>
      <c r="X54" s="112">
        <f t="shared" si="19"/>
        <v>0</v>
      </c>
      <c r="Y54" s="112">
        <f t="shared" si="19"/>
        <v>0</v>
      </c>
      <c r="Z54" s="112">
        <f t="shared" si="19"/>
        <v>0</v>
      </c>
    </row>
    <row r="55" spans="1:26" ht="18.75" x14ac:dyDescent="0.2">
      <c r="A55" s="76"/>
      <c r="B55" s="100" t="s">
        <v>22</v>
      </c>
      <c r="C55" s="34" t="s">
        <v>59</v>
      </c>
      <c r="D55" s="10" t="s">
        <v>85</v>
      </c>
      <c r="E55" s="10" t="s">
        <v>83</v>
      </c>
      <c r="F55" s="10" t="s">
        <v>83</v>
      </c>
      <c r="G55" s="16" t="s">
        <v>274</v>
      </c>
      <c r="H55" s="11" t="s">
        <v>83</v>
      </c>
      <c r="I55" s="260" t="s">
        <v>23</v>
      </c>
      <c r="J55" s="8">
        <v>60000</v>
      </c>
      <c r="K55" s="9">
        <v>0</v>
      </c>
      <c r="L55" s="112">
        <v>0</v>
      </c>
      <c r="M55" s="112">
        <v>0</v>
      </c>
      <c r="N55" s="112">
        <v>0</v>
      </c>
      <c r="O55" s="111">
        <v>1120000</v>
      </c>
      <c r="P55" s="112">
        <v>0</v>
      </c>
      <c r="Q55" s="112">
        <f>13631000-12681000</f>
        <v>950000</v>
      </c>
      <c r="R55" s="112">
        <f>Q55</f>
        <v>950000</v>
      </c>
      <c r="S55" s="113">
        <v>0</v>
      </c>
      <c r="T55" s="112">
        <v>220000</v>
      </c>
      <c r="U55" s="111">
        <v>0</v>
      </c>
      <c r="V55" s="112">
        <v>0</v>
      </c>
      <c r="W55" s="113">
        <v>0</v>
      </c>
      <c r="X55" s="112">
        <v>0</v>
      </c>
      <c r="Y55" s="112">
        <v>0</v>
      </c>
      <c r="Z55" s="112">
        <v>0</v>
      </c>
    </row>
    <row r="56" spans="1:26" ht="51" x14ac:dyDescent="0.2">
      <c r="A56" s="76"/>
      <c r="B56" s="114" t="s">
        <v>303</v>
      </c>
      <c r="C56" s="35" t="s">
        <v>59</v>
      </c>
      <c r="D56" s="22" t="s">
        <v>85</v>
      </c>
      <c r="E56" s="10" t="s">
        <v>292</v>
      </c>
      <c r="F56" s="10" t="s">
        <v>81</v>
      </c>
      <c r="G56" s="15" t="s">
        <v>302</v>
      </c>
      <c r="H56" s="11" t="s">
        <v>34</v>
      </c>
      <c r="I56" s="96"/>
      <c r="J56" s="12"/>
      <c r="K56" s="13"/>
      <c r="L56" s="289">
        <f t="shared" ref="L56:Z57" si="20">L57</f>
        <v>116959.06</v>
      </c>
      <c r="M56" s="13">
        <f t="shared" si="20"/>
        <v>0</v>
      </c>
      <c r="N56" s="104">
        <f t="shared" si="20"/>
        <v>0</v>
      </c>
      <c r="O56" s="288">
        <f t="shared" si="20"/>
        <v>0</v>
      </c>
      <c r="P56" s="13">
        <f t="shared" si="20"/>
        <v>0</v>
      </c>
      <c r="Q56" s="103">
        <f t="shared" si="20"/>
        <v>119474.32</v>
      </c>
      <c r="R56" s="103">
        <f t="shared" si="20"/>
        <v>119474.32</v>
      </c>
      <c r="S56" s="104">
        <f t="shared" si="20"/>
        <v>0</v>
      </c>
      <c r="T56" s="288">
        <f t="shared" si="20"/>
        <v>0</v>
      </c>
      <c r="U56" s="111"/>
      <c r="V56" s="104">
        <f t="shared" si="20"/>
        <v>0</v>
      </c>
      <c r="W56" s="104">
        <f t="shared" si="20"/>
        <v>0</v>
      </c>
      <c r="X56" s="104">
        <f t="shared" si="20"/>
        <v>0</v>
      </c>
      <c r="Y56" s="104">
        <f t="shared" si="20"/>
        <v>0</v>
      </c>
      <c r="Z56" s="104">
        <f t="shared" si="20"/>
        <v>0</v>
      </c>
    </row>
    <row r="57" spans="1:26" ht="25.5" x14ac:dyDescent="0.2">
      <c r="A57" s="76"/>
      <c r="B57" s="100" t="s">
        <v>21</v>
      </c>
      <c r="C57" s="35" t="s">
        <v>59</v>
      </c>
      <c r="D57" s="22" t="s">
        <v>85</v>
      </c>
      <c r="E57" s="10" t="s">
        <v>292</v>
      </c>
      <c r="F57" s="10" t="s">
        <v>81</v>
      </c>
      <c r="G57" s="15" t="s">
        <v>302</v>
      </c>
      <c r="H57" s="11" t="s">
        <v>34</v>
      </c>
      <c r="I57" s="96" t="s">
        <v>96</v>
      </c>
      <c r="J57" s="12"/>
      <c r="K57" s="13"/>
      <c r="L57" s="289">
        <f t="shared" si="20"/>
        <v>116959.06</v>
      </c>
      <c r="M57" s="13">
        <f t="shared" si="20"/>
        <v>0</v>
      </c>
      <c r="N57" s="104">
        <f t="shared" si="20"/>
        <v>0</v>
      </c>
      <c r="O57" s="288">
        <f t="shared" si="20"/>
        <v>0</v>
      </c>
      <c r="P57" s="13">
        <f t="shared" si="20"/>
        <v>0</v>
      </c>
      <c r="Q57" s="103">
        <f t="shared" si="20"/>
        <v>119474.32</v>
      </c>
      <c r="R57" s="103">
        <f t="shared" si="20"/>
        <v>119474.32</v>
      </c>
      <c r="S57" s="104">
        <f t="shared" si="20"/>
        <v>0</v>
      </c>
      <c r="T57" s="288">
        <f t="shared" si="20"/>
        <v>0</v>
      </c>
      <c r="U57" s="111"/>
      <c r="V57" s="104">
        <f t="shared" si="20"/>
        <v>0</v>
      </c>
      <c r="W57" s="104">
        <f t="shared" si="20"/>
        <v>0</v>
      </c>
      <c r="X57" s="104">
        <f t="shared" si="20"/>
        <v>0</v>
      </c>
      <c r="Y57" s="104">
        <f t="shared" si="20"/>
        <v>0</v>
      </c>
      <c r="Z57" s="104">
        <f t="shared" si="20"/>
        <v>0</v>
      </c>
    </row>
    <row r="58" spans="1:26" ht="18.75" x14ac:dyDescent="0.2">
      <c r="A58" s="76"/>
      <c r="B58" s="100" t="s">
        <v>22</v>
      </c>
      <c r="C58" s="35" t="s">
        <v>59</v>
      </c>
      <c r="D58" s="22" t="s">
        <v>85</v>
      </c>
      <c r="E58" s="10" t="s">
        <v>292</v>
      </c>
      <c r="F58" s="10" t="s">
        <v>81</v>
      </c>
      <c r="G58" s="15" t="s">
        <v>302</v>
      </c>
      <c r="H58" s="11" t="s">
        <v>34</v>
      </c>
      <c r="I58" s="96" t="s">
        <v>23</v>
      </c>
      <c r="J58" s="12"/>
      <c r="K58" s="13"/>
      <c r="L58" s="289">
        <v>116959.06</v>
      </c>
      <c r="M58" s="13">
        <v>0</v>
      </c>
      <c r="N58" s="104">
        <v>0</v>
      </c>
      <c r="O58" s="288">
        <v>0</v>
      </c>
      <c r="P58" s="13">
        <v>0</v>
      </c>
      <c r="Q58" s="103">
        <f>111111.12+4181.6+4181.6</f>
        <v>119474.32</v>
      </c>
      <c r="R58" s="103">
        <f>Q58</f>
        <v>119474.32</v>
      </c>
      <c r="S58" s="104">
        <v>0</v>
      </c>
      <c r="T58" s="288">
        <f>S58</f>
        <v>0</v>
      </c>
      <c r="U58" s="111"/>
      <c r="V58" s="104">
        <v>0</v>
      </c>
      <c r="W58" s="104">
        <v>0</v>
      </c>
      <c r="X58" s="104">
        <v>0</v>
      </c>
      <c r="Y58" s="104">
        <v>0</v>
      </c>
      <c r="Z58" s="104">
        <v>0</v>
      </c>
    </row>
    <row r="59" spans="1:26" ht="11.25" customHeight="1" x14ac:dyDescent="0.2">
      <c r="A59" s="76"/>
      <c r="B59" s="250"/>
      <c r="C59" s="16"/>
      <c r="D59" s="16"/>
      <c r="E59" s="10"/>
      <c r="F59" s="10"/>
      <c r="G59" s="18"/>
      <c r="H59" s="11"/>
      <c r="I59" s="96"/>
      <c r="J59" s="40"/>
      <c r="K59" s="97"/>
      <c r="L59" s="97"/>
      <c r="M59" s="97"/>
      <c r="N59" s="97"/>
      <c r="O59" s="98"/>
      <c r="P59" s="98"/>
      <c r="Q59" s="97"/>
      <c r="R59" s="98"/>
      <c r="S59" s="99"/>
      <c r="T59" s="98"/>
      <c r="U59" s="98"/>
      <c r="V59" s="98"/>
      <c r="W59" s="98"/>
      <c r="X59" s="98"/>
      <c r="Y59" s="98"/>
      <c r="Z59" s="98"/>
    </row>
    <row r="60" spans="1:26" ht="25.5" x14ac:dyDescent="0.2">
      <c r="A60" s="76"/>
      <c r="B60" s="278" t="s">
        <v>240</v>
      </c>
      <c r="C60" s="117" t="s">
        <v>59</v>
      </c>
      <c r="D60" s="117" t="s">
        <v>81</v>
      </c>
      <c r="E60" s="118" t="s">
        <v>83</v>
      </c>
      <c r="F60" s="118" t="s">
        <v>83</v>
      </c>
      <c r="G60" s="117" t="s">
        <v>84</v>
      </c>
      <c r="H60" s="116" t="s">
        <v>83</v>
      </c>
      <c r="I60" s="96"/>
      <c r="J60" s="83">
        <f>J61+J64+J67+J70</f>
        <v>36867254.869999997</v>
      </c>
      <c r="K60" s="84">
        <f>K61+K64+K67+K70</f>
        <v>0</v>
      </c>
      <c r="L60" s="84">
        <f>L61+L64+L67+L70+L73</f>
        <v>50671487.840000004</v>
      </c>
      <c r="M60" s="84">
        <f>M61+M64+M67+M70+M73</f>
        <v>95268.86</v>
      </c>
      <c r="N60" s="84">
        <f>N61+N64+N67+N70+N73+N76+N79</f>
        <v>50766756.700000003</v>
      </c>
      <c r="O60" s="84">
        <f t="shared" ref="O60:Z60" si="21">O61+O64+O67+O70+O73+O76+O79</f>
        <v>56093346.57</v>
      </c>
      <c r="P60" s="84">
        <f t="shared" si="21"/>
        <v>-70786.55</v>
      </c>
      <c r="Q60" s="84">
        <f t="shared" si="21"/>
        <v>21577000</v>
      </c>
      <c r="R60" s="84">
        <f t="shared" si="21"/>
        <v>72343756.700000003</v>
      </c>
      <c r="S60" s="84">
        <f t="shared" si="21"/>
        <v>53782560.020000003</v>
      </c>
      <c r="T60" s="84">
        <f t="shared" si="21"/>
        <v>53043072.840000004</v>
      </c>
      <c r="U60" s="84">
        <f t="shared" si="21"/>
        <v>-33268.559999999998</v>
      </c>
      <c r="V60" s="84">
        <f t="shared" si="21"/>
        <v>0</v>
      </c>
      <c r="W60" s="84">
        <f t="shared" si="21"/>
        <v>53782560.020000003</v>
      </c>
      <c r="X60" s="84">
        <f t="shared" si="21"/>
        <v>52569804.280000001</v>
      </c>
      <c r="Y60" s="84">
        <f t="shared" si="21"/>
        <v>0</v>
      </c>
      <c r="Z60" s="85">
        <f t="shared" si="21"/>
        <v>52569804.280000001</v>
      </c>
    </row>
    <row r="61" spans="1:26" ht="18.75" x14ac:dyDescent="0.2">
      <c r="A61" s="76"/>
      <c r="B61" s="250" t="s">
        <v>10</v>
      </c>
      <c r="C61" s="22" t="s">
        <v>59</v>
      </c>
      <c r="D61" s="22" t="s">
        <v>81</v>
      </c>
      <c r="E61" s="10" t="s">
        <v>83</v>
      </c>
      <c r="F61" s="10" t="s">
        <v>83</v>
      </c>
      <c r="G61" s="22" t="s">
        <v>12</v>
      </c>
      <c r="H61" s="11" t="s">
        <v>83</v>
      </c>
      <c r="I61" s="107"/>
      <c r="J61" s="40">
        <f t="shared" ref="J61:Y62" si="22">J62</f>
        <v>500000</v>
      </c>
      <c r="K61" s="97">
        <f t="shared" si="22"/>
        <v>0</v>
      </c>
      <c r="L61" s="97">
        <f t="shared" si="22"/>
        <v>0</v>
      </c>
      <c r="M61" s="97">
        <f t="shared" si="22"/>
        <v>166000</v>
      </c>
      <c r="N61" s="97">
        <f t="shared" si="22"/>
        <v>166000</v>
      </c>
      <c r="O61" s="98">
        <f t="shared" si="22"/>
        <v>3181500</v>
      </c>
      <c r="P61" s="98">
        <f t="shared" si="22"/>
        <v>0</v>
      </c>
      <c r="Q61" s="97">
        <f t="shared" si="22"/>
        <v>-166000</v>
      </c>
      <c r="R61" s="98">
        <f t="shared" si="22"/>
        <v>0</v>
      </c>
      <c r="S61" s="99">
        <f t="shared" si="22"/>
        <v>3181500</v>
      </c>
      <c r="T61" s="98">
        <f t="shared" si="22"/>
        <v>1960500</v>
      </c>
      <c r="U61" s="98">
        <f t="shared" si="22"/>
        <v>0</v>
      </c>
      <c r="V61" s="98">
        <f t="shared" si="22"/>
        <v>0</v>
      </c>
      <c r="W61" s="98">
        <f t="shared" si="22"/>
        <v>3181500</v>
      </c>
      <c r="X61" s="98">
        <f t="shared" si="22"/>
        <v>1960500</v>
      </c>
      <c r="Y61" s="98">
        <f t="shared" si="22"/>
        <v>0</v>
      </c>
      <c r="Z61" s="98">
        <f>Z62</f>
        <v>1960500</v>
      </c>
    </row>
    <row r="62" spans="1:26" ht="25.5" x14ac:dyDescent="0.2">
      <c r="A62" s="76"/>
      <c r="B62" s="250" t="s">
        <v>21</v>
      </c>
      <c r="C62" s="10" t="s">
        <v>59</v>
      </c>
      <c r="D62" s="10" t="s">
        <v>81</v>
      </c>
      <c r="E62" s="10" t="s">
        <v>83</v>
      </c>
      <c r="F62" s="10" t="s">
        <v>83</v>
      </c>
      <c r="G62" s="10" t="s">
        <v>12</v>
      </c>
      <c r="H62" s="11" t="s">
        <v>83</v>
      </c>
      <c r="I62" s="102" t="s">
        <v>96</v>
      </c>
      <c r="J62" s="40">
        <f t="shared" si="22"/>
        <v>500000</v>
      </c>
      <c r="K62" s="97">
        <f t="shared" si="22"/>
        <v>0</v>
      </c>
      <c r="L62" s="112">
        <f t="shared" si="22"/>
        <v>0</v>
      </c>
      <c r="M62" s="112">
        <f t="shared" si="22"/>
        <v>166000</v>
      </c>
      <c r="N62" s="112">
        <f t="shared" si="22"/>
        <v>166000</v>
      </c>
      <c r="O62" s="112">
        <f t="shared" si="22"/>
        <v>3181500</v>
      </c>
      <c r="P62" s="112">
        <f t="shared" si="22"/>
        <v>0</v>
      </c>
      <c r="Q62" s="112">
        <f t="shared" si="22"/>
        <v>-166000</v>
      </c>
      <c r="R62" s="112">
        <f t="shared" si="22"/>
        <v>0</v>
      </c>
      <c r="S62" s="113">
        <f t="shared" si="22"/>
        <v>3181500</v>
      </c>
      <c r="T62" s="112">
        <f t="shared" si="22"/>
        <v>1960500</v>
      </c>
      <c r="U62" s="112">
        <f t="shared" si="22"/>
        <v>0</v>
      </c>
      <c r="V62" s="112">
        <f t="shared" si="22"/>
        <v>0</v>
      </c>
      <c r="W62" s="112">
        <f t="shared" si="22"/>
        <v>3181500</v>
      </c>
      <c r="X62" s="112">
        <f t="shared" si="22"/>
        <v>1960500</v>
      </c>
      <c r="Y62" s="112">
        <f>Y63</f>
        <v>0</v>
      </c>
      <c r="Z62" s="112">
        <f>Z63</f>
        <v>1960500</v>
      </c>
    </row>
    <row r="63" spans="1:26" ht="18.75" x14ac:dyDescent="0.2">
      <c r="A63" s="76"/>
      <c r="B63" s="250" t="s">
        <v>22</v>
      </c>
      <c r="C63" s="10" t="s">
        <v>59</v>
      </c>
      <c r="D63" s="10" t="s">
        <v>81</v>
      </c>
      <c r="E63" s="10" t="s">
        <v>83</v>
      </c>
      <c r="F63" s="10" t="s">
        <v>83</v>
      </c>
      <c r="G63" s="10" t="s">
        <v>12</v>
      </c>
      <c r="H63" s="11" t="s">
        <v>83</v>
      </c>
      <c r="I63" s="102" t="s">
        <v>23</v>
      </c>
      <c r="J63" s="40">
        <v>500000</v>
      </c>
      <c r="K63" s="97">
        <v>0</v>
      </c>
      <c r="L63" s="112">
        <v>0</v>
      </c>
      <c r="M63" s="112">
        <v>166000</v>
      </c>
      <c r="N63" s="112">
        <f>M63</f>
        <v>166000</v>
      </c>
      <c r="O63" s="112">
        <v>3181500</v>
      </c>
      <c r="P63" s="112">
        <v>0</v>
      </c>
      <c r="Q63" s="112">
        <v>-166000</v>
      </c>
      <c r="R63" s="112">
        <f>Q63+N63</f>
        <v>0</v>
      </c>
      <c r="S63" s="112">
        <v>3181500</v>
      </c>
      <c r="T63" s="112">
        <v>1960500</v>
      </c>
      <c r="U63" s="112">
        <v>0</v>
      </c>
      <c r="V63" s="112">
        <v>0</v>
      </c>
      <c r="W63" s="112">
        <v>3181500</v>
      </c>
      <c r="X63" s="112">
        <v>1960500</v>
      </c>
      <c r="Y63" s="112">
        <v>0</v>
      </c>
      <c r="Z63" s="112">
        <v>1960500</v>
      </c>
    </row>
    <row r="64" spans="1:26" ht="18.75" x14ac:dyDescent="0.2">
      <c r="A64" s="76"/>
      <c r="B64" s="250" t="s">
        <v>92</v>
      </c>
      <c r="C64" s="22" t="s">
        <v>59</v>
      </c>
      <c r="D64" s="22" t="s">
        <v>81</v>
      </c>
      <c r="E64" s="10" t="s">
        <v>83</v>
      </c>
      <c r="F64" s="10" t="s">
        <v>83</v>
      </c>
      <c r="G64" s="15" t="s">
        <v>93</v>
      </c>
      <c r="H64" s="11" t="s">
        <v>83</v>
      </c>
      <c r="I64" s="96"/>
      <c r="J64" s="40">
        <f t="shared" ref="J64:Y65" si="23">J65</f>
        <v>35580000</v>
      </c>
      <c r="K64" s="97">
        <f t="shared" si="23"/>
        <v>0</v>
      </c>
      <c r="L64" s="97">
        <f t="shared" si="23"/>
        <v>49789300</v>
      </c>
      <c r="M64" s="97">
        <f t="shared" si="23"/>
        <v>0</v>
      </c>
      <c r="N64" s="97">
        <f t="shared" si="23"/>
        <v>49789300</v>
      </c>
      <c r="O64" s="98">
        <f t="shared" si="23"/>
        <v>49789300</v>
      </c>
      <c r="P64" s="98">
        <f t="shared" si="23"/>
        <v>0</v>
      </c>
      <c r="Q64" s="97">
        <f t="shared" si="23"/>
        <v>-51265.31</v>
      </c>
      <c r="R64" s="97">
        <f t="shared" si="23"/>
        <v>49738034.689999998</v>
      </c>
      <c r="S64" s="98">
        <f t="shared" si="23"/>
        <v>49789300</v>
      </c>
      <c r="T64" s="98">
        <f t="shared" si="23"/>
        <v>49789300</v>
      </c>
      <c r="U64" s="98">
        <f t="shared" si="23"/>
        <v>0</v>
      </c>
      <c r="V64" s="98">
        <f t="shared" si="23"/>
        <v>0</v>
      </c>
      <c r="W64" s="98">
        <f t="shared" si="23"/>
        <v>49789300</v>
      </c>
      <c r="X64" s="98">
        <f t="shared" si="23"/>
        <v>49789300</v>
      </c>
      <c r="Y64" s="98">
        <f t="shared" si="23"/>
        <v>0</v>
      </c>
      <c r="Z64" s="98">
        <f>Z65</f>
        <v>49789300</v>
      </c>
    </row>
    <row r="65" spans="1:26" ht="25.5" x14ac:dyDescent="0.2">
      <c r="A65" s="76"/>
      <c r="B65" s="100" t="s">
        <v>21</v>
      </c>
      <c r="C65" s="35" t="s">
        <v>59</v>
      </c>
      <c r="D65" s="22" t="s">
        <v>81</v>
      </c>
      <c r="E65" s="10" t="s">
        <v>83</v>
      </c>
      <c r="F65" s="10" t="s">
        <v>83</v>
      </c>
      <c r="G65" s="15" t="s">
        <v>93</v>
      </c>
      <c r="H65" s="11" t="s">
        <v>83</v>
      </c>
      <c r="I65" s="96">
        <v>600</v>
      </c>
      <c r="J65" s="40">
        <f t="shared" si="23"/>
        <v>35580000</v>
      </c>
      <c r="K65" s="97">
        <f t="shared" si="23"/>
        <v>0</v>
      </c>
      <c r="L65" s="104">
        <f t="shared" si="23"/>
        <v>49789300</v>
      </c>
      <c r="M65" s="104">
        <f t="shared" si="23"/>
        <v>0</v>
      </c>
      <c r="N65" s="104">
        <f t="shared" si="23"/>
        <v>49789300</v>
      </c>
      <c r="O65" s="104">
        <f t="shared" si="23"/>
        <v>49789300</v>
      </c>
      <c r="P65" s="104">
        <f t="shared" si="23"/>
        <v>0</v>
      </c>
      <c r="Q65" s="104">
        <f t="shared" si="23"/>
        <v>-51265.31</v>
      </c>
      <c r="R65" s="104">
        <f t="shared" si="23"/>
        <v>49738034.689999998</v>
      </c>
      <c r="S65" s="104">
        <f t="shared" si="23"/>
        <v>49789300</v>
      </c>
      <c r="T65" s="104">
        <f t="shared" si="23"/>
        <v>49789300</v>
      </c>
      <c r="U65" s="104">
        <f t="shared" si="23"/>
        <v>0</v>
      </c>
      <c r="V65" s="104">
        <f t="shared" si="23"/>
        <v>0</v>
      </c>
      <c r="W65" s="104">
        <f t="shared" si="23"/>
        <v>49789300</v>
      </c>
      <c r="X65" s="104">
        <f t="shared" si="23"/>
        <v>49789300</v>
      </c>
      <c r="Y65" s="104">
        <f>Y66</f>
        <v>0</v>
      </c>
      <c r="Z65" s="104">
        <f>Z66</f>
        <v>49789300</v>
      </c>
    </row>
    <row r="66" spans="1:26" ht="18.75" x14ac:dyDescent="0.2">
      <c r="A66" s="76"/>
      <c r="B66" s="100" t="s">
        <v>22</v>
      </c>
      <c r="C66" s="35" t="s">
        <v>59</v>
      </c>
      <c r="D66" s="22" t="s">
        <v>81</v>
      </c>
      <c r="E66" s="10" t="s">
        <v>83</v>
      </c>
      <c r="F66" s="10" t="s">
        <v>83</v>
      </c>
      <c r="G66" s="15" t="s">
        <v>93</v>
      </c>
      <c r="H66" s="11" t="s">
        <v>83</v>
      </c>
      <c r="I66" s="96" t="s">
        <v>23</v>
      </c>
      <c r="J66" s="40">
        <v>35580000</v>
      </c>
      <c r="K66" s="97">
        <v>0</v>
      </c>
      <c r="L66" s="104">
        <v>49789300</v>
      </c>
      <c r="M66" s="104">
        <v>0</v>
      </c>
      <c r="N66" s="104">
        <v>49789300</v>
      </c>
      <c r="O66" s="104">
        <v>49789300</v>
      </c>
      <c r="P66" s="104">
        <v>0</v>
      </c>
      <c r="Q66" s="104">
        <v>-51265.31</v>
      </c>
      <c r="R66" s="104">
        <f>Q66+N66</f>
        <v>49738034.689999998</v>
      </c>
      <c r="S66" s="104">
        <v>49789300</v>
      </c>
      <c r="T66" s="104">
        <v>49789300</v>
      </c>
      <c r="U66" s="104">
        <v>0</v>
      </c>
      <c r="V66" s="104">
        <v>0</v>
      </c>
      <c r="W66" s="104">
        <v>49789300</v>
      </c>
      <c r="X66" s="104">
        <v>49789300</v>
      </c>
      <c r="Y66" s="104">
        <v>0</v>
      </c>
      <c r="Z66" s="104">
        <v>49789300</v>
      </c>
    </row>
    <row r="67" spans="1:26" ht="38.25" x14ac:dyDescent="0.2">
      <c r="A67" s="76"/>
      <c r="B67" s="95" t="s">
        <v>249</v>
      </c>
      <c r="C67" s="35" t="s">
        <v>59</v>
      </c>
      <c r="D67" s="22" t="s">
        <v>81</v>
      </c>
      <c r="E67" s="10" t="s">
        <v>83</v>
      </c>
      <c r="F67" s="10" t="s">
        <v>83</v>
      </c>
      <c r="G67" s="15" t="s">
        <v>154</v>
      </c>
      <c r="H67" s="11" t="s">
        <v>83</v>
      </c>
      <c r="I67" s="96"/>
      <c r="J67" s="40">
        <f t="shared" ref="J67:Y68" si="24">J68</f>
        <v>390000</v>
      </c>
      <c r="K67" s="97">
        <f t="shared" si="24"/>
        <v>0</v>
      </c>
      <c r="L67" s="97">
        <f t="shared" si="24"/>
        <v>390000</v>
      </c>
      <c r="M67" s="97">
        <f t="shared" si="24"/>
        <v>0</v>
      </c>
      <c r="N67" s="97">
        <f t="shared" si="24"/>
        <v>390000</v>
      </c>
      <c r="O67" s="98">
        <f t="shared" si="24"/>
        <v>390000</v>
      </c>
      <c r="P67" s="98">
        <f t="shared" si="24"/>
        <v>0</v>
      </c>
      <c r="Q67" s="97">
        <f t="shared" si="24"/>
        <v>0</v>
      </c>
      <c r="R67" s="97">
        <f t="shared" si="24"/>
        <v>390000</v>
      </c>
      <c r="S67" s="98">
        <f t="shared" si="24"/>
        <v>390000</v>
      </c>
      <c r="T67" s="98">
        <f t="shared" si="24"/>
        <v>390000</v>
      </c>
      <c r="U67" s="98">
        <f t="shared" si="24"/>
        <v>0</v>
      </c>
      <c r="V67" s="98">
        <f t="shared" si="24"/>
        <v>0</v>
      </c>
      <c r="W67" s="98">
        <f t="shared" si="24"/>
        <v>390000</v>
      </c>
      <c r="X67" s="98">
        <f t="shared" si="24"/>
        <v>390000</v>
      </c>
      <c r="Y67" s="98">
        <f t="shared" si="24"/>
        <v>0</v>
      </c>
      <c r="Z67" s="98">
        <f>Z68</f>
        <v>390000</v>
      </c>
    </row>
    <row r="68" spans="1:26" ht="25.5" x14ac:dyDescent="0.2">
      <c r="A68" s="76"/>
      <c r="B68" s="100" t="s">
        <v>21</v>
      </c>
      <c r="C68" s="35" t="s">
        <v>59</v>
      </c>
      <c r="D68" s="22" t="s">
        <v>81</v>
      </c>
      <c r="E68" s="10" t="s">
        <v>83</v>
      </c>
      <c r="F68" s="10" t="s">
        <v>83</v>
      </c>
      <c r="G68" s="15" t="s">
        <v>154</v>
      </c>
      <c r="H68" s="11" t="s">
        <v>83</v>
      </c>
      <c r="I68" s="96">
        <v>600</v>
      </c>
      <c r="J68" s="40">
        <f t="shared" si="24"/>
        <v>390000</v>
      </c>
      <c r="K68" s="97">
        <f t="shared" si="24"/>
        <v>0</v>
      </c>
      <c r="L68" s="104">
        <f t="shared" si="24"/>
        <v>390000</v>
      </c>
      <c r="M68" s="104">
        <f t="shared" si="24"/>
        <v>0</v>
      </c>
      <c r="N68" s="104">
        <f t="shared" si="24"/>
        <v>390000</v>
      </c>
      <c r="O68" s="104">
        <f t="shared" si="24"/>
        <v>390000</v>
      </c>
      <c r="P68" s="104">
        <f t="shared" si="24"/>
        <v>0</v>
      </c>
      <c r="Q68" s="104">
        <f t="shared" si="24"/>
        <v>0</v>
      </c>
      <c r="R68" s="104">
        <f t="shared" si="24"/>
        <v>390000</v>
      </c>
      <c r="S68" s="104">
        <f t="shared" si="24"/>
        <v>390000</v>
      </c>
      <c r="T68" s="104">
        <f t="shared" si="24"/>
        <v>390000</v>
      </c>
      <c r="U68" s="104">
        <f t="shared" si="24"/>
        <v>0</v>
      </c>
      <c r="V68" s="104">
        <f t="shared" si="24"/>
        <v>0</v>
      </c>
      <c r="W68" s="104">
        <f t="shared" si="24"/>
        <v>390000</v>
      </c>
      <c r="X68" s="104">
        <f t="shared" si="24"/>
        <v>390000</v>
      </c>
      <c r="Y68" s="104">
        <f>Y69</f>
        <v>0</v>
      </c>
      <c r="Z68" s="104">
        <f>Z69</f>
        <v>390000</v>
      </c>
    </row>
    <row r="69" spans="1:26" ht="18.75" x14ac:dyDescent="0.2">
      <c r="A69" s="76"/>
      <c r="B69" s="100" t="s">
        <v>22</v>
      </c>
      <c r="C69" s="35" t="s">
        <v>59</v>
      </c>
      <c r="D69" s="22" t="s">
        <v>81</v>
      </c>
      <c r="E69" s="10" t="s">
        <v>83</v>
      </c>
      <c r="F69" s="10" t="s">
        <v>83</v>
      </c>
      <c r="G69" s="15" t="s">
        <v>154</v>
      </c>
      <c r="H69" s="11" t="s">
        <v>83</v>
      </c>
      <c r="I69" s="96" t="s">
        <v>23</v>
      </c>
      <c r="J69" s="40">
        <v>390000</v>
      </c>
      <c r="K69" s="97">
        <v>0</v>
      </c>
      <c r="L69" s="104">
        <v>390000</v>
      </c>
      <c r="M69" s="104">
        <v>0</v>
      </c>
      <c r="N69" s="104">
        <v>390000</v>
      </c>
      <c r="O69" s="104">
        <v>390000</v>
      </c>
      <c r="P69" s="104">
        <v>0</v>
      </c>
      <c r="Q69" s="104">
        <v>0</v>
      </c>
      <c r="R69" s="104">
        <v>390000</v>
      </c>
      <c r="S69" s="104">
        <v>390000</v>
      </c>
      <c r="T69" s="104">
        <v>390000</v>
      </c>
      <c r="U69" s="104">
        <v>0</v>
      </c>
      <c r="V69" s="104">
        <v>0</v>
      </c>
      <c r="W69" s="104">
        <v>390000</v>
      </c>
      <c r="X69" s="104">
        <v>390000</v>
      </c>
      <c r="Y69" s="104">
        <v>0</v>
      </c>
      <c r="Z69" s="104">
        <v>390000</v>
      </c>
    </row>
    <row r="70" spans="1:26" ht="63.75" x14ac:dyDescent="0.2">
      <c r="A70" s="76"/>
      <c r="B70" s="114" t="s">
        <v>206</v>
      </c>
      <c r="C70" s="35" t="s">
        <v>59</v>
      </c>
      <c r="D70" s="22" t="s">
        <v>81</v>
      </c>
      <c r="E70" s="10" t="s">
        <v>83</v>
      </c>
      <c r="F70" s="10" t="s">
        <v>83</v>
      </c>
      <c r="G70" s="15" t="s">
        <v>156</v>
      </c>
      <c r="H70" s="11" t="s">
        <v>163</v>
      </c>
      <c r="I70" s="96"/>
      <c r="J70" s="40">
        <f t="shared" ref="J70:Y71" si="25">J71</f>
        <v>397254.87</v>
      </c>
      <c r="K70" s="97">
        <f t="shared" si="25"/>
        <v>0</v>
      </c>
      <c r="L70" s="104">
        <f t="shared" si="25"/>
        <v>307502.09999999998</v>
      </c>
      <c r="M70" s="104">
        <f t="shared" si="25"/>
        <v>-68645.83</v>
      </c>
      <c r="N70" s="104">
        <f t="shared" si="25"/>
        <v>238856.26999999996</v>
      </c>
      <c r="O70" s="103">
        <f t="shared" si="25"/>
        <v>307860.83</v>
      </c>
      <c r="P70" s="104">
        <f t="shared" si="25"/>
        <v>-68701.240000000005</v>
      </c>
      <c r="Q70" s="104">
        <f t="shared" si="25"/>
        <v>0</v>
      </c>
      <c r="R70" s="104">
        <f t="shared" si="25"/>
        <v>238856.27</v>
      </c>
      <c r="S70" s="104">
        <f t="shared" si="25"/>
        <v>239159.59000000003</v>
      </c>
      <c r="T70" s="104">
        <f t="shared" si="25"/>
        <v>276587.09999999998</v>
      </c>
      <c r="U70" s="104">
        <f t="shared" si="25"/>
        <v>-31183.25</v>
      </c>
      <c r="V70" s="104">
        <f t="shared" si="25"/>
        <v>0</v>
      </c>
      <c r="W70" s="104">
        <f t="shared" si="25"/>
        <v>239159.59</v>
      </c>
      <c r="X70" s="104">
        <f t="shared" si="25"/>
        <v>245403.84999999998</v>
      </c>
      <c r="Y70" s="104">
        <f t="shared" si="25"/>
        <v>0</v>
      </c>
      <c r="Z70" s="104">
        <f>Z71</f>
        <v>245403.85</v>
      </c>
    </row>
    <row r="71" spans="1:26" ht="25.5" x14ac:dyDescent="0.2">
      <c r="A71" s="76"/>
      <c r="B71" s="100" t="s">
        <v>21</v>
      </c>
      <c r="C71" s="35" t="s">
        <v>59</v>
      </c>
      <c r="D71" s="22" t="s">
        <v>81</v>
      </c>
      <c r="E71" s="10" t="s">
        <v>83</v>
      </c>
      <c r="F71" s="10" t="s">
        <v>83</v>
      </c>
      <c r="G71" s="15" t="s">
        <v>156</v>
      </c>
      <c r="H71" s="11" t="s">
        <v>163</v>
      </c>
      <c r="I71" s="96">
        <v>600</v>
      </c>
      <c r="J71" s="40">
        <f t="shared" si="25"/>
        <v>397254.87</v>
      </c>
      <c r="K71" s="97">
        <f t="shared" si="25"/>
        <v>0</v>
      </c>
      <c r="L71" s="104">
        <f t="shared" si="25"/>
        <v>307502.09999999998</v>
      </c>
      <c r="M71" s="104">
        <f t="shared" si="25"/>
        <v>-68645.83</v>
      </c>
      <c r="N71" s="104">
        <f t="shared" si="25"/>
        <v>238856.26999999996</v>
      </c>
      <c r="O71" s="103">
        <f t="shared" si="25"/>
        <v>307860.83</v>
      </c>
      <c r="P71" s="104">
        <f t="shared" si="25"/>
        <v>-68701.240000000005</v>
      </c>
      <c r="Q71" s="104">
        <f t="shared" si="25"/>
        <v>0</v>
      </c>
      <c r="R71" s="104">
        <f t="shared" si="25"/>
        <v>238856.27</v>
      </c>
      <c r="S71" s="104">
        <f t="shared" si="25"/>
        <v>239159.59000000003</v>
      </c>
      <c r="T71" s="104">
        <f t="shared" si="25"/>
        <v>276587.09999999998</v>
      </c>
      <c r="U71" s="104">
        <f t="shared" si="25"/>
        <v>-31183.25</v>
      </c>
      <c r="V71" s="104">
        <f t="shared" si="25"/>
        <v>0</v>
      </c>
      <c r="W71" s="104">
        <f t="shared" si="25"/>
        <v>239159.59</v>
      </c>
      <c r="X71" s="104">
        <f t="shared" si="25"/>
        <v>245403.84999999998</v>
      </c>
      <c r="Y71" s="104">
        <f>Y72</f>
        <v>0</v>
      </c>
      <c r="Z71" s="104">
        <f>Z72</f>
        <v>245403.85</v>
      </c>
    </row>
    <row r="72" spans="1:26" ht="18.75" x14ac:dyDescent="0.2">
      <c r="A72" s="76"/>
      <c r="B72" s="100" t="s">
        <v>22</v>
      </c>
      <c r="C72" s="35" t="s">
        <v>59</v>
      </c>
      <c r="D72" s="22" t="s">
        <v>81</v>
      </c>
      <c r="E72" s="10" t="s">
        <v>83</v>
      </c>
      <c r="F72" s="10" t="s">
        <v>83</v>
      </c>
      <c r="G72" s="15" t="s">
        <v>156</v>
      </c>
      <c r="H72" s="11" t="s">
        <v>163</v>
      </c>
      <c r="I72" s="96" t="s">
        <v>23</v>
      </c>
      <c r="J72" s="40">
        <v>397254.87</v>
      </c>
      <c r="K72" s="97">
        <v>0</v>
      </c>
      <c r="L72" s="104">
        <f>287385.12+20116.98</f>
        <v>307502.09999999998</v>
      </c>
      <c r="M72" s="104">
        <f>-64154.96-4490.87</f>
        <v>-68645.83</v>
      </c>
      <c r="N72" s="104">
        <f>M72+L72</f>
        <v>238856.26999999996</v>
      </c>
      <c r="O72" s="103">
        <f>287720.4+20140.43</f>
        <v>307860.83</v>
      </c>
      <c r="P72" s="104">
        <f>-64206.76-4494.48</f>
        <v>-68701.240000000005</v>
      </c>
      <c r="Q72" s="104">
        <v>0</v>
      </c>
      <c r="R72" s="104">
        <v>238856.27</v>
      </c>
      <c r="S72" s="104">
        <f>P72+O72</f>
        <v>239159.59000000003</v>
      </c>
      <c r="T72" s="104">
        <f>258492.62+18094.48</f>
        <v>276587.09999999998</v>
      </c>
      <c r="U72" s="104">
        <f>-29143.23-2040.02</f>
        <v>-31183.25</v>
      </c>
      <c r="V72" s="104">
        <v>0</v>
      </c>
      <c r="W72" s="104">
        <v>239159.59</v>
      </c>
      <c r="X72" s="104">
        <f>U72+T72</f>
        <v>245403.84999999998</v>
      </c>
      <c r="Y72" s="104">
        <v>0</v>
      </c>
      <c r="Z72" s="104">
        <v>245403.85</v>
      </c>
    </row>
    <row r="73" spans="1:26" ht="63.75" x14ac:dyDescent="0.2">
      <c r="A73" s="76"/>
      <c r="B73" s="100" t="s">
        <v>205</v>
      </c>
      <c r="C73" s="35" t="s">
        <v>59</v>
      </c>
      <c r="D73" s="22" t="s">
        <v>81</v>
      </c>
      <c r="E73" s="10" t="s">
        <v>83</v>
      </c>
      <c r="F73" s="10" t="s">
        <v>83</v>
      </c>
      <c r="G73" s="22" t="s">
        <v>173</v>
      </c>
      <c r="H73" s="11" t="s">
        <v>83</v>
      </c>
      <c r="I73" s="107"/>
      <c r="J73" s="40"/>
      <c r="K73" s="97"/>
      <c r="L73" s="104">
        <f t="shared" ref="L73:Z74" si="26">L74</f>
        <v>184685.74</v>
      </c>
      <c r="M73" s="104">
        <f t="shared" si="26"/>
        <v>-2085.31</v>
      </c>
      <c r="N73" s="104">
        <f t="shared" si="26"/>
        <v>182600.43</v>
      </c>
      <c r="O73" s="103">
        <f t="shared" si="26"/>
        <v>184685.74</v>
      </c>
      <c r="P73" s="104">
        <f t="shared" si="26"/>
        <v>-2085.31</v>
      </c>
      <c r="Q73" s="104">
        <f t="shared" si="26"/>
        <v>0</v>
      </c>
      <c r="R73" s="104">
        <f t="shared" si="26"/>
        <v>182600.43</v>
      </c>
      <c r="S73" s="104">
        <f t="shared" si="26"/>
        <v>182600.43</v>
      </c>
      <c r="T73" s="104">
        <f t="shared" si="26"/>
        <v>186685.74</v>
      </c>
      <c r="U73" s="104">
        <f t="shared" si="26"/>
        <v>-2085.31</v>
      </c>
      <c r="V73" s="104">
        <f t="shared" si="26"/>
        <v>0</v>
      </c>
      <c r="W73" s="104">
        <f t="shared" si="26"/>
        <v>182600.43</v>
      </c>
      <c r="X73" s="104">
        <f t="shared" si="26"/>
        <v>184600.43</v>
      </c>
      <c r="Y73" s="104">
        <f t="shared" si="26"/>
        <v>0</v>
      </c>
      <c r="Z73" s="104">
        <f t="shared" si="26"/>
        <v>184600.43</v>
      </c>
    </row>
    <row r="74" spans="1:26" ht="25.5" x14ac:dyDescent="0.2">
      <c r="A74" s="76"/>
      <c r="B74" s="100" t="s">
        <v>21</v>
      </c>
      <c r="C74" s="34" t="s">
        <v>59</v>
      </c>
      <c r="D74" s="10" t="s">
        <v>81</v>
      </c>
      <c r="E74" s="10" t="s">
        <v>83</v>
      </c>
      <c r="F74" s="10" t="s">
        <v>83</v>
      </c>
      <c r="G74" s="10" t="s">
        <v>173</v>
      </c>
      <c r="H74" s="11" t="s">
        <v>83</v>
      </c>
      <c r="I74" s="102" t="s">
        <v>96</v>
      </c>
      <c r="J74" s="40"/>
      <c r="K74" s="97"/>
      <c r="L74" s="104">
        <f t="shared" si="26"/>
        <v>184685.74</v>
      </c>
      <c r="M74" s="104">
        <f t="shared" si="26"/>
        <v>-2085.31</v>
      </c>
      <c r="N74" s="104">
        <f t="shared" si="26"/>
        <v>182600.43</v>
      </c>
      <c r="O74" s="103">
        <f t="shared" si="26"/>
        <v>184685.74</v>
      </c>
      <c r="P74" s="104">
        <f t="shared" si="26"/>
        <v>-2085.31</v>
      </c>
      <c r="Q74" s="104">
        <f t="shared" si="26"/>
        <v>0</v>
      </c>
      <c r="R74" s="104">
        <f t="shared" si="26"/>
        <v>182600.43</v>
      </c>
      <c r="S74" s="104">
        <f t="shared" si="26"/>
        <v>182600.43</v>
      </c>
      <c r="T74" s="104">
        <f t="shared" si="26"/>
        <v>186685.74</v>
      </c>
      <c r="U74" s="104">
        <f t="shared" si="26"/>
        <v>-2085.31</v>
      </c>
      <c r="V74" s="104">
        <f t="shared" si="26"/>
        <v>0</v>
      </c>
      <c r="W74" s="104">
        <f t="shared" si="26"/>
        <v>182600.43</v>
      </c>
      <c r="X74" s="104">
        <f t="shared" si="26"/>
        <v>184600.43</v>
      </c>
      <c r="Y74" s="104">
        <f t="shared" si="26"/>
        <v>0</v>
      </c>
      <c r="Z74" s="104">
        <f t="shared" si="26"/>
        <v>184600.43</v>
      </c>
    </row>
    <row r="75" spans="1:26" ht="15" customHeight="1" x14ac:dyDescent="0.2">
      <c r="A75" s="76"/>
      <c r="B75" s="100" t="s">
        <v>22</v>
      </c>
      <c r="C75" s="34" t="s">
        <v>59</v>
      </c>
      <c r="D75" s="10" t="s">
        <v>81</v>
      </c>
      <c r="E75" s="10" t="s">
        <v>83</v>
      </c>
      <c r="F75" s="10" t="s">
        <v>83</v>
      </c>
      <c r="G75" s="10" t="s">
        <v>173</v>
      </c>
      <c r="H75" s="11" t="s">
        <v>83</v>
      </c>
      <c r="I75" s="102" t="s">
        <v>23</v>
      </c>
      <c r="J75" s="40"/>
      <c r="K75" s="97"/>
      <c r="L75" s="104">
        <f>172602.72+12083.02</f>
        <v>184685.74</v>
      </c>
      <c r="M75" s="104">
        <f>-1948.11-137.2</f>
        <v>-2085.31</v>
      </c>
      <c r="N75" s="104">
        <f>M75+L75</f>
        <v>182600.43</v>
      </c>
      <c r="O75" s="103">
        <f>172602.72+12083.02</f>
        <v>184685.74</v>
      </c>
      <c r="P75" s="104">
        <f>-1948.11-137.2</f>
        <v>-2085.31</v>
      </c>
      <c r="Q75" s="104">
        <v>0</v>
      </c>
      <c r="R75" s="104">
        <v>182600.43</v>
      </c>
      <c r="S75" s="104">
        <f>P75+O75</f>
        <v>182600.43</v>
      </c>
      <c r="T75" s="104">
        <f>172602.72+14083.02</f>
        <v>186685.74</v>
      </c>
      <c r="U75" s="104">
        <f>-1948.11-137.2</f>
        <v>-2085.31</v>
      </c>
      <c r="V75" s="104">
        <v>0</v>
      </c>
      <c r="W75" s="104">
        <v>182600.43</v>
      </c>
      <c r="X75" s="104">
        <f>U75+T75</f>
        <v>184600.43</v>
      </c>
      <c r="Y75" s="104">
        <v>0</v>
      </c>
      <c r="Z75" s="104">
        <v>184600.43</v>
      </c>
    </row>
    <row r="76" spans="1:26" ht="39" customHeight="1" x14ac:dyDescent="0.2">
      <c r="A76" s="76"/>
      <c r="B76" s="100" t="s">
        <v>244</v>
      </c>
      <c r="C76" s="34" t="s">
        <v>59</v>
      </c>
      <c r="D76" s="10" t="s">
        <v>81</v>
      </c>
      <c r="E76" s="10" t="s">
        <v>83</v>
      </c>
      <c r="F76" s="10" t="s">
        <v>83</v>
      </c>
      <c r="G76" s="16" t="s">
        <v>274</v>
      </c>
      <c r="H76" s="11" t="s">
        <v>83</v>
      </c>
      <c r="I76" s="260"/>
      <c r="J76" s="8" t="e">
        <f>J77+#REF!</f>
        <v>#REF!</v>
      </c>
      <c r="K76" s="9" t="e">
        <f>K77+#REF!</f>
        <v>#REF!</v>
      </c>
      <c r="L76" s="112">
        <f t="shared" ref="L76:Z76" si="27">L77</f>
        <v>0</v>
      </c>
      <c r="M76" s="112">
        <f t="shared" si="27"/>
        <v>0</v>
      </c>
      <c r="N76" s="112">
        <f t="shared" si="27"/>
        <v>0</v>
      </c>
      <c r="O76" s="111">
        <f t="shared" si="27"/>
        <v>1120000</v>
      </c>
      <c r="P76" s="112">
        <f t="shared" si="27"/>
        <v>0</v>
      </c>
      <c r="Q76" s="112">
        <f t="shared" si="27"/>
        <v>13631000</v>
      </c>
      <c r="R76" s="112">
        <f t="shared" si="27"/>
        <v>13631000</v>
      </c>
      <c r="S76" s="113">
        <f t="shared" si="27"/>
        <v>0</v>
      </c>
      <c r="T76" s="112">
        <f t="shared" si="27"/>
        <v>220000</v>
      </c>
      <c r="U76" s="111">
        <f t="shared" si="27"/>
        <v>0</v>
      </c>
      <c r="V76" s="112">
        <f t="shared" si="27"/>
        <v>0</v>
      </c>
      <c r="W76" s="113">
        <f t="shared" si="27"/>
        <v>0</v>
      </c>
      <c r="X76" s="112">
        <f t="shared" si="27"/>
        <v>0</v>
      </c>
      <c r="Y76" s="112">
        <f t="shared" si="27"/>
        <v>0</v>
      </c>
      <c r="Z76" s="112">
        <f t="shared" si="27"/>
        <v>0</v>
      </c>
    </row>
    <row r="77" spans="1:26" ht="35.25" customHeight="1" x14ac:dyDescent="0.2">
      <c r="A77" s="76"/>
      <c r="B77" s="100" t="s">
        <v>21</v>
      </c>
      <c r="C77" s="34" t="s">
        <v>59</v>
      </c>
      <c r="D77" s="10" t="s">
        <v>81</v>
      </c>
      <c r="E77" s="10" t="s">
        <v>83</v>
      </c>
      <c r="F77" s="10" t="s">
        <v>83</v>
      </c>
      <c r="G77" s="16" t="s">
        <v>274</v>
      </c>
      <c r="H77" s="11" t="s">
        <v>83</v>
      </c>
      <c r="I77" s="260" t="s">
        <v>96</v>
      </c>
      <c r="J77" s="8">
        <f t="shared" ref="J77:Z77" si="28">J78</f>
        <v>60000</v>
      </c>
      <c r="K77" s="9">
        <f t="shared" si="28"/>
        <v>0</v>
      </c>
      <c r="L77" s="112">
        <f t="shared" si="28"/>
        <v>0</v>
      </c>
      <c r="M77" s="112">
        <f t="shared" si="28"/>
        <v>0</v>
      </c>
      <c r="N77" s="112">
        <f t="shared" si="28"/>
        <v>0</v>
      </c>
      <c r="O77" s="111">
        <f t="shared" si="28"/>
        <v>1120000</v>
      </c>
      <c r="P77" s="112">
        <f t="shared" si="28"/>
        <v>0</v>
      </c>
      <c r="Q77" s="112">
        <f t="shared" si="28"/>
        <v>13631000</v>
      </c>
      <c r="R77" s="112">
        <f t="shared" si="28"/>
        <v>13631000</v>
      </c>
      <c r="S77" s="113">
        <f t="shared" si="28"/>
        <v>0</v>
      </c>
      <c r="T77" s="112">
        <f t="shared" si="28"/>
        <v>220000</v>
      </c>
      <c r="U77" s="111">
        <f t="shared" si="28"/>
        <v>0</v>
      </c>
      <c r="V77" s="112">
        <f t="shared" si="28"/>
        <v>0</v>
      </c>
      <c r="W77" s="113">
        <f t="shared" si="28"/>
        <v>0</v>
      </c>
      <c r="X77" s="112">
        <f t="shared" si="28"/>
        <v>0</v>
      </c>
      <c r="Y77" s="112">
        <f t="shared" si="28"/>
        <v>0</v>
      </c>
      <c r="Z77" s="112">
        <f t="shared" si="28"/>
        <v>0</v>
      </c>
    </row>
    <row r="78" spans="1:26" ht="15" customHeight="1" x14ac:dyDescent="0.2">
      <c r="A78" s="76"/>
      <c r="B78" s="100" t="s">
        <v>22</v>
      </c>
      <c r="C78" s="34" t="s">
        <v>59</v>
      </c>
      <c r="D78" s="10" t="s">
        <v>81</v>
      </c>
      <c r="E78" s="10" t="s">
        <v>83</v>
      </c>
      <c r="F78" s="10" t="s">
        <v>83</v>
      </c>
      <c r="G78" s="16" t="s">
        <v>274</v>
      </c>
      <c r="H78" s="11" t="s">
        <v>83</v>
      </c>
      <c r="I78" s="260" t="s">
        <v>23</v>
      </c>
      <c r="J78" s="8">
        <v>60000</v>
      </c>
      <c r="K78" s="9">
        <v>0</v>
      </c>
      <c r="L78" s="112">
        <v>0</v>
      </c>
      <c r="M78" s="112">
        <v>0</v>
      </c>
      <c r="N78" s="112">
        <v>0</v>
      </c>
      <c r="O78" s="111">
        <v>1120000</v>
      </c>
      <c r="P78" s="112">
        <v>0</v>
      </c>
      <c r="Q78" s="112">
        <f>950000+12681000</f>
        <v>13631000</v>
      </c>
      <c r="R78" s="112">
        <f>Q78</f>
        <v>13631000</v>
      </c>
      <c r="S78" s="113">
        <v>0</v>
      </c>
      <c r="T78" s="112">
        <v>220000</v>
      </c>
      <c r="U78" s="111">
        <v>0</v>
      </c>
      <c r="V78" s="112">
        <v>0</v>
      </c>
      <c r="W78" s="113">
        <v>0</v>
      </c>
      <c r="X78" s="112">
        <v>0</v>
      </c>
      <c r="Y78" s="112">
        <v>0</v>
      </c>
      <c r="Z78" s="112">
        <v>0</v>
      </c>
    </row>
    <row r="79" spans="1:26" ht="48.75" customHeight="1" x14ac:dyDescent="0.2">
      <c r="A79" s="76"/>
      <c r="B79" s="100" t="s">
        <v>300</v>
      </c>
      <c r="C79" s="34" t="s">
        <v>59</v>
      </c>
      <c r="D79" s="10" t="s">
        <v>81</v>
      </c>
      <c r="E79" s="10" t="s">
        <v>292</v>
      </c>
      <c r="F79" s="10" t="s">
        <v>85</v>
      </c>
      <c r="G79" s="16" t="s">
        <v>293</v>
      </c>
      <c r="H79" s="11" t="s">
        <v>85</v>
      </c>
      <c r="I79" s="260"/>
      <c r="J79" s="8" t="e">
        <f>J80+#REF!</f>
        <v>#REF!</v>
      </c>
      <c r="K79" s="9" t="e">
        <f>K80+#REF!</f>
        <v>#REF!</v>
      </c>
      <c r="L79" s="112">
        <f t="shared" ref="L79:Z79" si="29">L80</f>
        <v>0</v>
      </c>
      <c r="M79" s="112">
        <f t="shared" si="29"/>
        <v>0</v>
      </c>
      <c r="N79" s="112">
        <f t="shared" si="29"/>
        <v>0</v>
      </c>
      <c r="O79" s="111">
        <f t="shared" si="29"/>
        <v>1120000</v>
      </c>
      <c r="P79" s="112">
        <f t="shared" si="29"/>
        <v>0</v>
      </c>
      <c r="Q79" s="112">
        <f t="shared" si="29"/>
        <v>8163265.3099999996</v>
      </c>
      <c r="R79" s="112">
        <f t="shared" si="29"/>
        <v>8163265.3099999996</v>
      </c>
      <c r="S79" s="113">
        <f t="shared" si="29"/>
        <v>0</v>
      </c>
      <c r="T79" s="112">
        <f t="shared" si="29"/>
        <v>220000</v>
      </c>
      <c r="U79" s="111">
        <f t="shared" si="29"/>
        <v>0</v>
      </c>
      <c r="V79" s="112">
        <f t="shared" si="29"/>
        <v>0</v>
      </c>
      <c r="W79" s="113">
        <f t="shared" si="29"/>
        <v>0</v>
      </c>
      <c r="X79" s="112">
        <f t="shared" si="29"/>
        <v>0</v>
      </c>
      <c r="Y79" s="112">
        <f t="shared" si="29"/>
        <v>0</v>
      </c>
      <c r="Z79" s="112">
        <f t="shared" si="29"/>
        <v>0</v>
      </c>
    </row>
    <row r="80" spans="1:26" ht="28.5" customHeight="1" x14ac:dyDescent="0.2">
      <c r="A80" s="76"/>
      <c r="B80" s="100" t="s">
        <v>21</v>
      </c>
      <c r="C80" s="34" t="s">
        <v>59</v>
      </c>
      <c r="D80" s="10" t="s">
        <v>81</v>
      </c>
      <c r="E80" s="10" t="s">
        <v>292</v>
      </c>
      <c r="F80" s="10" t="s">
        <v>85</v>
      </c>
      <c r="G80" s="16" t="s">
        <v>293</v>
      </c>
      <c r="H80" s="11" t="s">
        <v>85</v>
      </c>
      <c r="I80" s="260" t="s">
        <v>96</v>
      </c>
      <c r="J80" s="8">
        <f t="shared" ref="J80:Z80" si="30">J81</f>
        <v>60000</v>
      </c>
      <c r="K80" s="9">
        <f t="shared" si="30"/>
        <v>0</v>
      </c>
      <c r="L80" s="112">
        <f t="shared" si="30"/>
        <v>0</v>
      </c>
      <c r="M80" s="112">
        <f t="shared" si="30"/>
        <v>0</v>
      </c>
      <c r="N80" s="112">
        <f t="shared" si="30"/>
        <v>0</v>
      </c>
      <c r="O80" s="111">
        <f t="shared" si="30"/>
        <v>1120000</v>
      </c>
      <c r="P80" s="112">
        <f t="shared" si="30"/>
        <v>0</v>
      </c>
      <c r="Q80" s="112">
        <f t="shared" si="30"/>
        <v>8163265.3099999996</v>
      </c>
      <c r="R80" s="112">
        <f t="shared" si="30"/>
        <v>8163265.3099999996</v>
      </c>
      <c r="S80" s="113">
        <f t="shared" si="30"/>
        <v>0</v>
      </c>
      <c r="T80" s="112">
        <f t="shared" si="30"/>
        <v>220000</v>
      </c>
      <c r="U80" s="111">
        <f t="shared" si="30"/>
        <v>0</v>
      </c>
      <c r="V80" s="112">
        <f t="shared" si="30"/>
        <v>0</v>
      </c>
      <c r="W80" s="113">
        <f t="shared" si="30"/>
        <v>0</v>
      </c>
      <c r="X80" s="112">
        <f t="shared" si="30"/>
        <v>0</v>
      </c>
      <c r="Y80" s="112">
        <f t="shared" si="30"/>
        <v>0</v>
      </c>
      <c r="Z80" s="112">
        <f t="shared" si="30"/>
        <v>0</v>
      </c>
    </row>
    <row r="81" spans="1:26" ht="15" customHeight="1" x14ac:dyDescent="0.2">
      <c r="A81" s="76"/>
      <c r="B81" s="100" t="s">
        <v>22</v>
      </c>
      <c r="C81" s="34" t="s">
        <v>59</v>
      </c>
      <c r="D81" s="10" t="s">
        <v>81</v>
      </c>
      <c r="E81" s="10" t="s">
        <v>292</v>
      </c>
      <c r="F81" s="10" t="s">
        <v>85</v>
      </c>
      <c r="G81" s="16" t="s">
        <v>293</v>
      </c>
      <c r="H81" s="11" t="s">
        <v>85</v>
      </c>
      <c r="I81" s="260" t="s">
        <v>23</v>
      </c>
      <c r="J81" s="8">
        <v>60000</v>
      </c>
      <c r="K81" s="9">
        <v>0</v>
      </c>
      <c r="L81" s="112">
        <v>0</v>
      </c>
      <c r="M81" s="112">
        <v>0</v>
      </c>
      <c r="N81" s="112">
        <v>0</v>
      </c>
      <c r="O81" s="111">
        <v>1120000</v>
      </c>
      <c r="P81" s="112">
        <v>0</v>
      </c>
      <c r="Q81" s="112">
        <f>8000000+163265.31</f>
        <v>8163265.3099999996</v>
      </c>
      <c r="R81" s="112">
        <f>Q81</f>
        <v>8163265.3099999996</v>
      </c>
      <c r="S81" s="113">
        <v>0</v>
      </c>
      <c r="T81" s="112">
        <v>220000</v>
      </c>
      <c r="U81" s="111">
        <v>0</v>
      </c>
      <c r="V81" s="112">
        <v>0</v>
      </c>
      <c r="W81" s="113">
        <v>0</v>
      </c>
      <c r="X81" s="112">
        <v>0</v>
      </c>
      <c r="Y81" s="112">
        <v>0</v>
      </c>
      <c r="Z81" s="112">
        <v>0</v>
      </c>
    </row>
    <row r="82" spans="1:26" ht="6.75" customHeight="1" x14ac:dyDescent="0.2">
      <c r="A82" s="76"/>
      <c r="B82" s="119"/>
      <c r="C82" s="120"/>
      <c r="D82" s="121"/>
      <c r="E82" s="121"/>
      <c r="F82" s="121"/>
      <c r="G82" s="121"/>
      <c r="H82" s="122"/>
      <c r="I82" s="123"/>
      <c r="J82" s="124"/>
      <c r="K82" s="125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72.75" customHeight="1" x14ac:dyDescent="0.2">
      <c r="A83" s="76"/>
      <c r="B83" s="279" t="s">
        <v>230</v>
      </c>
      <c r="C83" s="128" t="s">
        <v>66</v>
      </c>
      <c r="D83" s="129" t="s">
        <v>83</v>
      </c>
      <c r="E83" s="129" t="s">
        <v>83</v>
      </c>
      <c r="F83" s="129" t="s">
        <v>83</v>
      </c>
      <c r="G83" s="129" t="s">
        <v>84</v>
      </c>
      <c r="H83" s="130" t="s">
        <v>83</v>
      </c>
      <c r="I83" s="131"/>
      <c r="J83" s="132" t="e">
        <f>#REF!</f>
        <v>#REF!</v>
      </c>
      <c r="K83" s="133" t="e">
        <f>#REF!</f>
        <v>#REF!</v>
      </c>
      <c r="L83" s="134">
        <f>L93+L96+L99</f>
        <v>544000</v>
      </c>
      <c r="M83" s="134">
        <f>M93+M96+M99</f>
        <v>0</v>
      </c>
      <c r="N83" s="134">
        <f>N93+N96+N99+N102</f>
        <v>544000</v>
      </c>
      <c r="O83" s="134">
        <f t="shared" ref="O83:Z83" si="31">O93+O96+O99+O102</f>
        <v>30187504.289999999</v>
      </c>
      <c r="P83" s="134">
        <f t="shared" si="31"/>
        <v>0</v>
      </c>
      <c r="Q83" s="134">
        <f t="shared" si="31"/>
        <v>1781620</v>
      </c>
      <c r="R83" s="134">
        <f t="shared" si="31"/>
        <v>2325620</v>
      </c>
      <c r="S83" s="134">
        <f t="shared" si="31"/>
        <v>19965504.289999999</v>
      </c>
      <c r="T83" s="134">
        <f t="shared" si="31"/>
        <v>13283207.189999999</v>
      </c>
      <c r="U83" s="134">
        <f t="shared" si="31"/>
        <v>0</v>
      </c>
      <c r="V83" s="134">
        <f t="shared" si="31"/>
        <v>0</v>
      </c>
      <c r="W83" s="134">
        <f t="shared" si="31"/>
        <v>19965504.289999999</v>
      </c>
      <c r="X83" s="134">
        <f t="shared" si="31"/>
        <v>8019207.1899999995</v>
      </c>
      <c r="Y83" s="134">
        <f t="shared" si="31"/>
        <v>0</v>
      </c>
      <c r="Z83" s="134">
        <f t="shared" si="31"/>
        <v>8019207.1899999995</v>
      </c>
    </row>
    <row r="84" spans="1:26" ht="39.75" hidden="1" customHeight="1" x14ac:dyDescent="0.2">
      <c r="A84" s="76"/>
      <c r="B84" s="95" t="s">
        <v>37</v>
      </c>
      <c r="C84" s="39" t="s">
        <v>66</v>
      </c>
      <c r="D84" s="16" t="s">
        <v>83</v>
      </c>
      <c r="E84" s="10" t="s">
        <v>83</v>
      </c>
      <c r="F84" s="10" t="s">
        <v>83</v>
      </c>
      <c r="G84" s="16" t="s">
        <v>16</v>
      </c>
      <c r="H84" s="11" t="s">
        <v>83</v>
      </c>
      <c r="I84" s="102"/>
      <c r="J84" s="108" t="e">
        <f t="shared" ref="J84:Y85" si="32">J85</f>
        <v>#REF!</v>
      </c>
      <c r="K84" s="1" t="e">
        <f t="shared" si="32"/>
        <v>#REF!</v>
      </c>
      <c r="L84" s="1" t="e">
        <f t="shared" si="32"/>
        <v>#REF!</v>
      </c>
      <c r="M84" s="1" t="e">
        <f t="shared" si="32"/>
        <v>#REF!</v>
      </c>
      <c r="N84" s="1" t="e">
        <f t="shared" si="32"/>
        <v>#REF!</v>
      </c>
      <c r="O84" s="109" t="e">
        <f t="shared" si="32"/>
        <v>#REF!</v>
      </c>
      <c r="P84" s="109" t="e">
        <f t="shared" si="32"/>
        <v>#REF!</v>
      </c>
      <c r="Q84" s="1" t="e">
        <f t="shared" si="32"/>
        <v>#REF!</v>
      </c>
      <c r="R84" s="1" t="e">
        <f t="shared" si="32"/>
        <v>#REF!</v>
      </c>
      <c r="S84" s="109" t="e">
        <f t="shared" si="32"/>
        <v>#REF!</v>
      </c>
      <c r="T84" s="109" t="e">
        <f t="shared" si="32"/>
        <v>#REF!</v>
      </c>
      <c r="U84" s="109" t="e">
        <f t="shared" si="32"/>
        <v>#REF!</v>
      </c>
      <c r="V84" s="109" t="e">
        <f t="shared" si="32"/>
        <v>#REF!</v>
      </c>
      <c r="W84" s="109" t="e">
        <f t="shared" si="32"/>
        <v>#REF!</v>
      </c>
      <c r="X84" s="109" t="e">
        <f t="shared" si="32"/>
        <v>#REF!</v>
      </c>
      <c r="Y84" s="109" t="e">
        <f t="shared" si="32"/>
        <v>#REF!</v>
      </c>
      <c r="Z84" s="109" t="e">
        <f>Z85</f>
        <v>#REF!</v>
      </c>
    </row>
    <row r="85" spans="1:26" ht="40.5" hidden="1" customHeight="1" x14ac:dyDescent="0.2">
      <c r="A85" s="76"/>
      <c r="B85" s="100" t="s">
        <v>42</v>
      </c>
      <c r="C85" s="39" t="s">
        <v>66</v>
      </c>
      <c r="D85" s="16" t="s">
        <v>83</v>
      </c>
      <c r="E85" s="10" t="s">
        <v>83</v>
      </c>
      <c r="F85" s="10" t="s">
        <v>83</v>
      </c>
      <c r="G85" s="16" t="s">
        <v>16</v>
      </c>
      <c r="H85" s="11" t="s">
        <v>83</v>
      </c>
      <c r="I85" s="102">
        <v>200</v>
      </c>
      <c r="J85" s="108" t="e">
        <f t="shared" si="32"/>
        <v>#REF!</v>
      </c>
      <c r="K85" s="1" t="e">
        <f t="shared" si="32"/>
        <v>#REF!</v>
      </c>
      <c r="L85" s="1" t="e">
        <f t="shared" si="32"/>
        <v>#REF!</v>
      </c>
      <c r="M85" s="1" t="e">
        <f t="shared" si="32"/>
        <v>#REF!</v>
      </c>
      <c r="N85" s="1" t="e">
        <f t="shared" si="32"/>
        <v>#REF!</v>
      </c>
      <c r="O85" s="109" t="e">
        <f t="shared" si="32"/>
        <v>#REF!</v>
      </c>
      <c r="P85" s="109" t="e">
        <f t="shared" si="32"/>
        <v>#REF!</v>
      </c>
      <c r="Q85" s="1" t="e">
        <f t="shared" si="32"/>
        <v>#REF!</v>
      </c>
      <c r="R85" s="1" t="e">
        <f t="shared" si="32"/>
        <v>#REF!</v>
      </c>
      <c r="S85" s="109" t="e">
        <f t="shared" si="32"/>
        <v>#REF!</v>
      </c>
      <c r="T85" s="109" t="e">
        <f t="shared" si="32"/>
        <v>#REF!</v>
      </c>
      <c r="U85" s="109" t="e">
        <f t="shared" si="32"/>
        <v>#REF!</v>
      </c>
      <c r="V85" s="109" t="e">
        <f t="shared" si="32"/>
        <v>#REF!</v>
      </c>
      <c r="W85" s="109" t="e">
        <f t="shared" si="32"/>
        <v>#REF!</v>
      </c>
      <c r="X85" s="109" t="e">
        <f t="shared" si="32"/>
        <v>#REF!</v>
      </c>
      <c r="Y85" s="109" t="e">
        <f>Y86</f>
        <v>#REF!</v>
      </c>
      <c r="Z85" s="109" t="e">
        <f>Z86</f>
        <v>#REF!</v>
      </c>
    </row>
    <row r="86" spans="1:26" ht="26.25" hidden="1" customHeight="1" x14ac:dyDescent="0.2">
      <c r="A86" s="76"/>
      <c r="B86" s="100" t="s">
        <v>44</v>
      </c>
      <c r="C86" s="39" t="s">
        <v>66</v>
      </c>
      <c r="D86" s="16" t="s">
        <v>83</v>
      </c>
      <c r="E86" s="10" t="s">
        <v>83</v>
      </c>
      <c r="F86" s="10" t="s">
        <v>83</v>
      </c>
      <c r="G86" s="16" t="s">
        <v>16</v>
      </c>
      <c r="H86" s="11" t="s">
        <v>83</v>
      </c>
      <c r="I86" s="102">
        <v>240</v>
      </c>
      <c r="J86" s="108" t="e">
        <f>#REF!+#REF!</f>
        <v>#REF!</v>
      </c>
      <c r="K86" s="1" t="e">
        <f>#REF!+#REF!</f>
        <v>#REF!</v>
      </c>
      <c r="L86" s="1" t="e">
        <f>#REF!+#REF!</f>
        <v>#REF!</v>
      </c>
      <c r="M86" s="1" t="e">
        <f>#REF!+#REF!</f>
        <v>#REF!</v>
      </c>
      <c r="N86" s="1" t="e">
        <f>#REF!+#REF!</f>
        <v>#REF!</v>
      </c>
      <c r="O86" s="109" t="e">
        <f>#REF!+#REF!</f>
        <v>#REF!</v>
      </c>
      <c r="P86" s="109" t="e">
        <f>#REF!+#REF!</f>
        <v>#REF!</v>
      </c>
      <c r="Q86" s="1" t="e">
        <f>#REF!+#REF!</f>
        <v>#REF!</v>
      </c>
      <c r="R86" s="1" t="e">
        <f>#REF!+#REF!</f>
        <v>#REF!</v>
      </c>
      <c r="S86" s="109" t="e">
        <f>#REF!+#REF!</f>
        <v>#REF!</v>
      </c>
      <c r="T86" s="109" t="e">
        <f>#REF!+#REF!</f>
        <v>#REF!</v>
      </c>
      <c r="U86" s="109" t="e">
        <f>#REF!+#REF!</f>
        <v>#REF!</v>
      </c>
      <c r="V86" s="109" t="e">
        <f>#REF!+#REF!</f>
        <v>#REF!</v>
      </c>
      <c r="W86" s="109" t="e">
        <f>#REF!+#REF!</f>
        <v>#REF!</v>
      </c>
      <c r="X86" s="109" t="e">
        <f>#REF!+#REF!</f>
        <v>#REF!</v>
      </c>
      <c r="Y86" s="109" t="e">
        <f>#REF!+#REF!</f>
        <v>#REF!</v>
      </c>
      <c r="Z86" s="109" t="e">
        <f>#REF!+#REF!</f>
        <v>#REF!</v>
      </c>
    </row>
    <row r="87" spans="1:26" ht="26.25" hidden="1" customHeight="1" x14ac:dyDescent="0.2">
      <c r="A87" s="76"/>
      <c r="B87" s="95" t="s">
        <v>124</v>
      </c>
      <c r="C87" s="36" t="s">
        <v>66</v>
      </c>
      <c r="D87" s="14" t="s">
        <v>83</v>
      </c>
      <c r="E87" s="10" t="s">
        <v>83</v>
      </c>
      <c r="F87" s="10" t="s">
        <v>83</v>
      </c>
      <c r="G87" s="15" t="s">
        <v>125</v>
      </c>
      <c r="H87" s="19" t="s">
        <v>83</v>
      </c>
      <c r="I87" s="135"/>
      <c r="J87" s="108" t="e">
        <f t="shared" ref="J87:Y88" si="33">J88</f>
        <v>#REF!</v>
      </c>
      <c r="K87" s="1" t="e">
        <f t="shared" si="33"/>
        <v>#REF!</v>
      </c>
      <c r="L87" s="1" t="e">
        <f t="shared" si="33"/>
        <v>#REF!</v>
      </c>
      <c r="M87" s="1" t="e">
        <f t="shared" si="33"/>
        <v>#REF!</v>
      </c>
      <c r="N87" s="1" t="e">
        <f t="shared" si="33"/>
        <v>#REF!</v>
      </c>
      <c r="O87" s="109" t="e">
        <f t="shared" si="33"/>
        <v>#REF!</v>
      </c>
      <c r="P87" s="109" t="e">
        <f t="shared" si="33"/>
        <v>#REF!</v>
      </c>
      <c r="Q87" s="1" t="e">
        <f t="shared" si="33"/>
        <v>#REF!</v>
      </c>
      <c r="R87" s="1" t="e">
        <f t="shared" si="33"/>
        <v>#REF!</v>
      </c>
      <c r="S87" s="109" t="e">
        <f t="shared" si="33"/>
        <v>#REF!</v>
      </c>
      <c r="T87" s="109" t="e">
        <f t="shared" si="33"/>
        <v>#REF!</v>
      </c>
      <c r="U87" s="109" t="e">
        <f t="shared" si="33"/>
        <v>#REF!</v>
      </c>
      <c r="V87" s="109" t="e">
        <f t="shared" si="33"/>
        <v>#REF!</v>
      </c>
      <c r="W87" s="109" t="e">
        <f t="shared" si="33"/>
        <v>#REF!</v>
      </c>
      <c r="X87" s="109" t="e">
        <f t="shared" si="33"/>
        <v>#REF!</v>
      </c>
      <c r="Y87" s="109" t="e">
        <f t="shared" si="33"/>
        <v>#REF!</v>
      </c>
      <c r="Z87" s="109" t="e">
        <f>Z88</f>
        <v>#REF!</v>
      </c>
    </row>
    <row r="88" spans="1:26" ht="26.25" hidden="1" customHeight="1" x14ac:dyDescent="0.2">
      <c r="A88" s="76"/>
      <c r="B88" s="100" t="s">
        <v>42</v>
      </c>
      <c r="C88" s="36" t="s">
        <v>66</v>
      </c>
      <c r="D88" s="14" t="s">
        <v>83</v>
      </c>
      <c r="E88" s="10" t="s">
        <v>83</v>
      </c>
      <c r="F88" s="10" t="s">
        <v>83</v>
      </c>
      <c r="G88" s="15" t="s">
        <v>125</v>
      </c>
      <c r="H88" s="19" t="s">
        <v>83</v>
      </c>
      <c r="I88" s="135" t="s">
        <v>43</v>
      </c>
      <c r="J88" s="108" t="e">
        <f t="shared" si="33"/>
        <v>#REF!</v>
      </c>
      <c r="K88" s="1" t="e">
        <f t="shared" si="33"/>
        <v>#REF!</v>
      </c>
      <c r="L88" s="1" t="e">
        <f t="shared" si="33"/>
        <v>#REF!</v>
      </c>
      <c r="M88" s="1" t="e">
        <f t="shared" si="33"/>
        <v>#REF!</v>
      </c>
      <c r="N88" s="1" t="e">
        <f t="shared" si="33"/>
        <v>#REF!</v>
      </c>
      <c r="O88" s="109" t="e">
        <f t="shared" si="33"/>
        <v>#REF!</v>
      </c>
      <c r="P88" s="109" t="e">
        <f t="shared" si="33"/>
        <v>#REF!</v>
      </c>
      <c r="Q88" s="1" t="e">
        <f t="shared" si="33"/>
        <v>#REF!</v>
      </c>
      <c r="R88" s="1" t="e">
        <f t="shared" si="33"/>
        <v>#REF!</v>
      </c>
      <c r="S88" s="109" t="e">
        <f t="shared" si="33"/>
        <v>#REF!</v>
      </c>
      <c r="T88" s="109" t="e">
        <f t="shared" si="33"/>
        <v>#REF!</v>
      </c>
      <c r="U88" s="109" t="e">
        <f t="shared" si="33"/>
        <v>#REF!</v>
      </c>
      <c r="V88" s="109" t="e">
        <f t="shared" si="33"/>
        <v>#REF!</v>
      </c>
      <c r="W88" s="109" t="e">
        <f t="shared" si="33"/>
        <v>#REF!</v>
      </c>
      <c r="X88" s="109" t="e">
        <f t="shared" si="33"/>
        <v>#REF!</v>
      </c>
      <c r="Y88" s="109" t="e">
        <f>Y89</f>
        <v>#REF!</v>
      </c>
      <c r="Z88" s="109" t="e">
        <f>Z89</f>
        <v>#REF!</v>
      </c>
    </row>
    <row r="89" spans="1:26" ht="26.25" hidden="1" customHeight="1" x14ac:dyDescent="0.2">
      <c r="A89" s="76"/>
      <c r="B89" s="100" t="s">
        <v>44</v>
      </c>
      <c r="C89" s="36" t="s">
        <v>66</v>
      </c>
      <c r="D89" s="14" t="s">
        <v>83</v>
      </c>
      <c r="E89" s="10" t="s">
        <v>83</v>
      </c>
      <c r="F89" s="10" t="s">
        <v>83</v>
      </c>
      <c r="G89" s="15" t="s">
        <v>125</v>
      </c>
      <c r="H89" s="19" t="s">
        <v>83</v>
      </c>
      <c r="I89" s="135" t="s">
        <v>45</v>
      </c>
      <c r="J89" s="108" t="e">
        <f>#REF!+#REF!</f>
        <v>#REF!</v>
      </c>
      <c r="K89" s="1" t="e">
        <f>#REF!+#REF!</f>
        <v>#REF!</v>
      </c>
      <c r="L89" s="1" t="e">
        <f>#REF!+#REF!</f>
        <v>#REF!</v>
      </c>
      <c r="M89" s="1" t="e">
        <f>#REF!+#REF!</f>
        <v>#REF!</v>
      </c>
      <c r="N89" s="1" t="e">
        <f>#REF!+#REF!</f>
        <v>#REF!</v>
      </c>
      <c r="O89" s="109" t="e">
        <f>#REF!+#REF!</f>
        <v>#REF!</v>
      </c>
      <c r="P89" s="109" t="e">
        <f>#REF!+#REF!</f>
        <v>#REF!</v>
      </c>
      <c r="Q89" s="1" t="e">
        <f>#REF!+#REF!</f>
        <v>#REF!</v>
      </c>
      <c r="R89" s="1" t="e">
        <f>#REF!+#REF!</f>
        <v>#REF!</v>
      </c>
      <c r="S89" s="109" t="e">
        <f>#REF!+#REF!</f>
        <v>#REF!</v>
      </c>
      <c r="T89" s="109" t="e">
        <f>#REF!+#REF!</f>
        <v>#REF!</v>
      </c>
      <c r="U89" s="109" t="e">
        <f>#REF!+#REF!</f>
        <v>#REF!</v>
      </c>
      <c r="V89" s="109" t="e">
        <f>#REF!+#REF!</f>
        <v>#REF!</v>
      </c>
      <c r="W89" s="109" t="e">
        <f>#REF!+#REF!</f>
        <v>#REF!</v>
      </c>
      <c r="X89" s="109" t="e">
        <f>#REF!+#REF!</f>
        <v>#REF!</v>
      </c>
      <c r="Y89" s="109" t="e">
        <f>#REF!+#REF!</f>
        <v>#REF!</v>
      </c>
      <c r="Z89" s="109" t="e">
        <f>#REF!+#REF!</f>
        <v>#REF!</v>
      </c>
    </row>
    <row r="90" spans="1:26" ht="31.5" hidden="1" customHeight="1" x14ac:dyDescent="0.2">
      <c r="A90" s="76"/>
      <c r="B90" s="136" t="s">
        <v>111</v>
      </c>
      <c r="C90" s="36" t="s">
        <v>66</v>
      </c>
      <c r="D90" s="14" t="s">
        <v>83</v>
      </c>
      <c r="E90" s="10" t="s">
        <v>83</v>
      </c>
      <c r="F90" s="10" t="s">
        <v>83</v>
      </c>
      <c r="G90" s="15" t="s">
        <v>110</v>
      </c>
      <c r="H90" s="11" t="s">
        <v>83</v>
      </c>
      <c r="I90" s="135"/>
      <c r="J90" s="108" t="e">
        <f t="shared" ref="J90:Y91" si="34">J91</f>
        <v>#REF!</v>
      </c>
      <c r="K90" s="1" t="e">
        <f t="shared" si="34"/>
        <v>#REF!</v>
      </c>
      <c r="L90" s="1" t="e">
        <f t="shared" si="34"/>
        <v>#REF!</v>
      </c>
      <c r="M90" s="1" t="e">
        <f t="shared" si="34"/>
        <v>#REF!</v>
      </c>
      <c r="N90" s="1" t="e">
        <f t="shared" si="34"/>
        <v>#REF!</v>
      </c>
      <c r="O90" s="109" t="e">
        <f t="shared" si="34"/>
        <v>#REF!</v>
      </c>
      <c r="P90" s="109" t="e">
        <f t="shared" si="34"/>
        <v>#REF!</v>
      </c>
      <c r="Q90" s="1" t="e">
        <f t="shared" si="34"/>
        <v>#REF!</v>
      </c>
      <c r="R90" s="1" t="e">
        <f t="shared" si="34"/>
        <v>#REF!</v>
      </c>
      <c r="S90" s="109" t="e">
        <f t="shared" si="34"/>
        <v>#REF!</v>
      </c>
      <c r="T90" s="109" t="e">
        <f t="shared" si="34"/>
        <v>#REF!</v>
      </c>
      <c r="U90" s="109" t="e">
        <f t="shared" si="34"/>
        <v>#REF!</v>
      </c>
      <c r="V90" s="109" t="e">
        <f t="shared" si="34"/>
        <v>#REF!</v>
      </c>
      <c r="W90" s="109" t="e">
        <f t="shared" si="34"/>
        <v>#REF!</v>
      </c>
      <c r="X90" s="109" t="e">
        <f t="shared" si="34"/>
        <v>#REF!</v>
      </c>
      <c r="Y90" s="109" t="e">
        <f t="shared" si="34"/>
        <v>#REF!</v>
      </c>
      <c r="Z90" s="109" t="e">
        <f>Z91</f>
        <v>#REF!</v>
      </c>
    </row>
    <row r="91" spans="1:26" ht="30" hidden="1" customHeight="1" x14ac:dyDescent="0.2">
      <c r="A91" s="76"/>
      <c r="B91" s="100" t="s">
        <v>42</v>
      </c>
      <c r="C91" s="36" t="s">
        <v>66</v>
      </c>
      <c r="D91" s="14" t="s">
        <v>83</v>
      </c>
      <c r="E91" s="10" t="s">
        <v>83</v>
      </c>
      <c r="F91" s="10" t="s">
        <v>83</v>
      </c>
      <c r="G91" s="15" t="s">
        <v>110</v>
      </c>
      <c r="H91" s="19" t="s">
        <v>83</v>
      </c>
      <c r="I91" s="135" t="s">
        <v>43</v>
      </c>
      <c r="J91" s="108" t="e">
        <f t="shared" si="34"/>
        <v>#REF!</v>
      </c>
      <c r="K91" s="1" t="e">
        <f t="shared" si="34"/>
        <v>#REF!</v>
      </c>
      <c r="L91" s="1" t="e">
        <f t="shared" si="34"/>
        <v>#REF!</v>
      </c>
      <c r="M91" s="1" t="e">
        <f t="shared" si="34"/>
        <v>#REF!</v>
      </c>
      <c r="N91" s="1" t="e">
        <f t="shared" si="34"/>
        <v>#REF!</v>
      </c>
      <c r="O91" s="109" t="e">
        <f t="shared" si="34"/>
        <v>#REF!</v>
      </c>
      <c r="P91" s="109" t="e">
        <f t="shared" si="34"/>
        <v>#REF!</v>
      </c>
      <c r="Q91" s="1" t="e">
        <f t="shared" si="34"/>
        <v>#REF!</v>
      </c>
      <c r="R91" s="1" t="e">
        <f t="shared" si="34"/>
        <v>#REF!</v>
      </c>
      <c r="S91" s="109" t="e">
        <f t="shared" si="34"/>
        <v>#REF!</v>
      </c>
      <c r="T91" s="109" t="e">
        <f t="shared" si="34"/>
        <v>#REF!</v>
      </c>
      <c r="U91" s="109" t="e">
        <f t="shared" si="34"/>
        <v>#REF!</v>
      </c>
      <c r="V91" s="109" t="e">
        <f t="shared" si="34"/>
        <v>#REF!</v>
      </c>
      <c r="W91" s="109" t="e">
        <f t="shared" si="34"/>
        <v>#REF!</v>
      </c>
      <c r="X91" s="109" t="e">
        <f t="shared" si="34"/>
        <v>#REF!</v>
      </c>
      <c r="Y91" s="109" t="e">
        <f>Y92</f>
        <v>#REF!</v>
      </c>
      <c r="Z91" s="109" t="e">
        <f>Z92</f>
        <v>#REF!</v>
      </c>
    </row>
    <row r="92" spans="1:26" ht="30.75" hidden="1" customHeight="1" x14ac:dyDescent="0.2">
      <c r="A92" s="76"/>
      <c r="B92" s="100" t="s">
        <v>44</v>
      </c>
      <c r="C92" s="36" t="s">
        <v>66</v>
      </c>
      <c r="D92" s="14" t="s">
        <v>83</v>
      </c>
      <c r="E92" s="10" t="s">
        <v>83</v>
      </c>
      <c r="F92" s="10" t="s">
        <v>83</v>
      </c>
      <c r="G92" s="15" t="s">
        <v>110</v>
      </c>
      <c r="H92" s="19" t="s">
        <v>83</v>
      </c>
      <c r="I92" s="135" t="s">
        <v>45</v>
      </c>
      <c r="J92" s="108" t="e">
        <f>#REF!+#REF!</f>
        <v>#REF!</v>
      </c>
      <c r="K92" s="1" t="e">
        <f>#REF!+#REF!</f>
        <v>#REF!</v>
      </c>
      <c r="L92" s="1" t="e">
        <f>#REF!+#REF!</f>
        <v>#REF!</v>
      </c>
      <c r="M92" s="1" t="e">
        <f>#REF!+#REF!</f>
        <v>#REF!</v>
      </c>
      <c r="N92" s="1" t="e">
        <f>#REF!+#REF!</f>
        <v>#REF!</v>
      </c>
      <c r="O92" s="109" t="e">
        <f>#REF!+#REF!</f>
        <v>#REF!</v>
      </c>
      <c r="P92" s="109" t="e">
        <f>#REF!+#REF!</f>
        <v>#REF!</v>
      </c>
      <c r="Q92" s="1" t="e">
        <f>#REF!+#REF!</f>
        <v>#REF!</v>
      </c>
      <c r="R92" s="1" t="e">
        <f>#REF!+#REF!</f>
        <v>#REF!</v>
      </c>
      <c r="S92" s="109" t="e">
        <f>#REF!+#REF!</f>
        <v>#REF!</v>
      </c>
      <c r="T92" s="109" t="e">
        <f>#REF!+#REF!</f>
        <v>#REF!</v>
      </c>
      <c r="U92" s="109" t="e">
        <f>#REF!+#REF!</f>
        <v>#REF!</v>
      </c>
      <c r="V92" s="109" t="e">
        <f>#REF!+#REF!</f>
        <v>#REF!</v>
      </c>
      <c r="W92" s="109" t="e">
        <f>#REF!+#REF!</f>
        <v>#REF!</v>
      </c>
      <c r="X92" s="109" t="e">
        <f>#REF!+#REF!</f>
        <v>#REF!</v>
      </c>
      <c r="Y92" s="109" t="e">
        <f>#REF!+#REF!</f>
        <v>#REF!</v>
      </c>
      <c r="Z92" s="109" t="e">
        <f>#REF!+#REF!</f>
        <v>#REF!</v>
      </c>
    </row>
    <row r="93" spans="1:26" ht="33" customHeight="1" x14ac:dyDescent="0.2">
      <c r="A93" s="76"/>
      <c r="B93" s="95" t="s">
        <v>37</v>
      </c>
      <c r="C93" s="39" t="s">
        <v>66</v>
      </c>
      <c r="D93" s="16" t="s">
        <v>83</v>
      </c>
      <c r="E93" s="10" t="s">
        <v>83</v>
      </c>
      <c r="F93" s="10" t="s">
        <v>83</v>
      </c>
      <c r="G93" s="16" t="s">
        <v>16</v>
      </c>
      <c r="H93" s="11" t="s">
        <v>83</v>
      </c>
      <c r="I93" s="102"/>
      <c r="J93" s="108">
        <f t="shared" ref="J93:Y94" si="35">J94</f>
        <v>600000</v>
      </c>
      <c r="K93" s="1">
        <f t="shared" si="35"/>
        <v>0</v>
      </c>
      <c r="L93" s="1">
        <f t="shared" si="35"/>
        <v>544000</v>
      </c>
      <c r="M93" s="1">
        <f t="shared" si="35"/>
        <v>0</v>
      </c>
      <c r="N93" s="1">
        <f t="shared" si="35"/>
        <v>544000</v>
      </c>
      <c r="O93" s="109">
        <f t="shared" si="35"/>
        <v>600000</v>
      </c>
      <c r="P93" s="109">
        <f t="shared" si="35"/>
        <v>0</v>
      </c>
      <c r="Q93" s="1">
        <f t="shared" si="35"/>
        <v>0</v>
      </c>
      <c r="R93" s="1">
        <f t="shared" si="35"/>
        <v>544000</v>
      </c>
      <c r="S93" s="109">
        <f t="shared" si="35"/>
        <v>600000</v>
      </c>
      <c r="T93" s="109">
        <f t="shared" si="35"/>
        <v>600000</v>
      </c>
      <c r="U93" s="109">
        <f t="shared" si="35"/>
        <v>0</v>
      </c>
      <c r="V93" s="109">
        <f t="shared" si="35"/>
        <v>0</v>
      </c>
      <c r="W93" s="109">
        <f t="shared" si="35"/>
        <v>600000</v>
      </c>
      <c r="X93" s="109">
        <f t="shared" si="35"/>
        <v>600000</v>
      </c>
      <c r="Y93" s="109">
        <f t="shared" si="35"/>
        <v>0</v>
      </c>
      <c r="Z93" s="109">
        <f>Z94</f>
        <v>600000</v>
      </c>
    </row>
    <row r="94" spans="1:26" ht="34.5" customHeight="1" x14ac:dyDescent="0.2">
      <c r="A94" s="76"/>
      <c r="B94" s="100" t="s">
        <v>42</v>
      </c>
      <c r="C94" s="39" t="s">
        <v>66</v>
      </c>
      <c r="D94" s="16" t="s">
        <v>83</v>
      </c>
      <c r="E94" s="10" t="s">
        <v>83</v>
      </c>
      <c r="F94" s="10" t="s">
        <v>83</v>
      </c>
      <c r="G94" s="16" t="s">
        <v>16</v>
      </c>
      <c r="H94" s="11" t="s">
        <v>83</v>
      </c>
      <c r="I94" s="102">
        <v>200</v>
      </c>
      <c r="J94" s="108">
        <f t="shared" si="35"/>
        <v>600000</v>
      </c>
      <c r="K94" s="1">
        <f t="shared" si="35"/>
        <v>0</v>
      </c>
      <c r="L94" s="1">
        <f t="shared" si="35"/>
        <v>544000</v>
      </c>
      <c r="M94" s="1">
        <f t="shared" si="35"/>
        <v>0</v>
      </c>
      <c r="N94" s="1">
        <f t="shared" si="35"/>
        <v>544000</v>
      </c>
      <c r="O94" s="109">
        <f t="shared" si="35"/>
        <v>600000</v>
      </c>
      <c r="P94" s="109">
        <f t="shared" si="35"/>
        <v>0</v>
      </c>
      <c r="Q94" s="1">
        <f t="shared" si="35"/>
        <v>0</v>
      </c>
      <c r="R94" s="1">
        <f t="shared" si="35"/>
        <v>544000</v>
      </c>
      <c r="S94" s="109">
        <f t="shared" si="35"/>
        <v>600000</v>
      </c>
      <c r="T94" s="109">
        <f t="shared" si="35"/>
        <v>600000</v>
      </c>
      <c r="U94" s="109">
        <f t="shared" si="35"/>
        <v>0</v>
      </c>
      <c r="V94" s="109">
        <f t="shared" si="35"/>
        <v>0</v>
      </c>
      <c r="W94" s="109">
        <f t="shared" si="35"/>
        <v>600000</v>
      </c>
      <c r="X94" s="109">
        <f t="shared" si="35"/>
        <v>600000</v>
      </c>
      <c r="Y94" s="109">
        <f>Y95</f>
        <v>0</v>
      </c>
      <c r="Z94" s="109">
        <f>Z95</f>
        <v>600000</v>
      </c>
    </row>
    <row r="95" spans="1:26" ht="33" customHeight="1" x14ac:dyDescent="0.2">
      <c r="A95" s="76"/>
      <c r="B95" s="100" t="s">
        <v>44</v>
      </c>
      <c r="C95" s="39" t="s">
        <v>66</v>
      </c>
      <c r="D95" s="16" t="s">
        <v>83</v>
      </c>
      <c r="E95" s="10" t="s">
        <v>83</v>
      </c>
      <c r="F95" s="10" t="s">
        <v>83</v>
      </c>
      <c r="G95" s="16" t="s">
        <v>16</v>
      </c>
      <c r="H95" s="11" t="s">
        <v>83</v>
      </c>
      <c r="I95" s="102">
        <v>240</v>
      </c>
      <c r="J95" s="108">
        <v>600000</v>
      </c>
      <c r="K95" s="1">
        <v>0</v>
      </c>
      <c r="L95" s="104">
        <v>544000</v>
      </c>
      <c r="M95" s="104">
        <v>0</v>
      </c>
      <c r="N95" s="104">
        <v>544000</v>
      </c>
      <c r="O95" s="104">
        <v>600000</v>
      </c>
      <c r="P95" s="104">
        <v>0</v>
      </c>
      <c r="Q95" s="104">
        <v>0</v>
      </c>
      <c r="R95" s="104">
        <v>544000</v>
      </c>
      <c r="S95" s="104">
        <v>600000</v>
      </c>
      <c r="T95" s="104">
        <v>600000</v>
      </c>
      <c r="U95" s="104">
        <v>0</v>
      </c>
      <c r="V95" s="104">
        <v>0</v>
      </c>
      <c r="W95" s="104">
        <v>600000</v>
      </c>
      <c r="X95" s="104">
        <v>600000</v>
      </c>
      <c r="Y95" s="104">
        <v>0</v>
      </c>
      <c r="Z95" s="104">
        <v>600000</v>
      </c>
    </row>
    <row r="96" spans="1:26" ht="17.25" customHeight="1" x14ac:dyDescent="0.2">
      <c r="A96" s="76"/>
      <c r="B96" s="95" t="s">
        <v>124</v>
      </c>
      <c r="C96" s="36" t="s">
        <v>66</v>
      </c>
      <c r="D96" s="14" t="s">
        <v>83</v>
      </c>
      <c r="E96" s="10" t="s">
        <v>83</v>
      </c>
      <c r="F96" s="10" t="s">
        <v>83</v>
      </c>
      <c r="G96" s="15" t="s">
        <v>125</v>
      </c>
      <c r="H96" s="19" t="s">
        <v>83</v>
      </c>
      <c r="I96" s="135"/>
      <c r="J96" s="108">
        <f t="shared" ref="J96:Y97" si="36">J97</f>
        <v>539248.80000000005</v>
      </c>
      <c r="K96" s="1">
        <f t="shared" si="36"/>
        <v>2614224.19</v>
      </c>
      <c r="L96" s="1">
        <f t="shared" si="36"/>
        <v>0</v>
      </c>
      <c r="M96" s="1">
        <f t="shared" si="36"/>
        <v>0</v>
      </c>
      <c r="N96" s="1">
        <f t="shared" si="36"/>
        <v>0</v>
      </c>
      <c r="O96" s="109">
        <f t="shared" si="36"/>
        <v>9143504.2899999991</v>
      </c>
      <c r="P96" s="109">
        <f t="shared" si="36"/>
        <v>0</v>
      </c>
      <c r="Q96" s="1">
        <f t="shared" si="36"/>
        <v>0</v>
      </c>
      <c r="R96" s="1">
        <f t="shared" si="36"/>
        <v>0</v>
      </c>
      <c r="S96" s="109">
        <f t="shared" si="36"/>
        <v>9143504.2899999991</v>
      </c>
      <c r="T96" s="109">
        <f t="shared" si="36"/>
        <v>2155207.19</v>
      </c>
      <c r="U96" s="109">
        <f t="shared" si="36"/>
        <v>0</v>
      </c>
      <c r="V96" s="109">
        <f t="shared" si="36"/>
        <v>0</v>
      </c>
      <c r="W96" s="109">
        <f t="shared" si="36"/>
        <v>9143504.2899999991</v>
      </c>
      <c r="X96" s="109">
        <f t="shared" si="36"/>
        <v>2155207.19</v>
      </c>
      <c r="Y96" s="109">
        <f t="shared" si="36"/>
        <v>0</v>
      </c>
      <c r="Z96" s="109">
        <f>Z97</f>
        <v>2155207.19</v>
      </c>
    </row>
    <row r="97" spans="1:26" ht="30.75" customHeight="1" x14ac:dyDescent="0.2">
      <c r="A97" s="76"/>
      <c r="B97" s="100" t="s">
        <v>42</v>
      </c>
      <c r="C97" s="36" t="s">
        <v>66</v>
      </c>
      <c r="D97" s="14" t="s">
        <v>83</v>
      </c>
      <c r="E97" s="10" t="s">
        <v>83</v>
      </c>
      <c r="F97" s="10" t="s">
        <v>83</v>
      </c>
      <c r="G97" s="15" t="s">
        <v>125</v>
      </c>
      <c r="H97" s="19" t="s">
        <v>83</v>
      </c>
      <c r="I97" s="135" t="s">
        <v>43</v>
      </c>
      <c r="J97" s="108">
        <f t="shared" si="36"/>
        <v>539248.80000000005</v>
      </c>
      <c r="K97" s="1">
        <f t="shared" si="36"/>
        <v>2614224.19</v>
      </c>
      <c r="L97" s="1">
        <f t="shared" si="36"/>
        <v>0</v>
      </c>
      <c r="M97" s="1">
        <f t="shared" si="36"/>
        <v>0</v>
      </c>
      <c r="N97" s="1">
        <f t="shared" si="36"/>
        <v>0</v>
      </c>
      <c r="O97" s="109">
        <f t="shared" si="36"/>
        <v>9143504.2899999991</v>
      </c>
      <c r="P97" s="109">
        <f t="shared" si="36"/>
        <v>0</v>
      </c>
      <c r="Q97" s="1">
        <f t="shared" si="36"/>
        <v>0</v>
      </c>
      <c r="R97" s="1">
        <f t="shared" si="36"/>
        <v>0</v>
      </c>
      <c r="S97" s="109">
        <f t="shared" si="36"/>
        <v>9143504.2899999991</v>
      </c>
      <c r="T97" s="109">
        <f t="shared" si="36"/>
        <v>2155207.19</v>
      </c>
      <c r="U97" s="109">
        <f t="shared" si="36"/>
        <v>0</v>
      </c>
      <c r="V97" s="109">
        <f t="shared" si="36"/>
        <v>0</v>
      </c>
      <c r="W97" s="109">
        <f t="shared" si="36"/>
        <v>9143504.2899999991</v>
      </c>
      <c r="X97" s="109">
        <f t="shared" si="36"/>
        <v>2155207.19</v>
      </c>
      <c r="Y97" s="109">
        <f>Y98</f>
        <v>0</v>
      </c>
      <c r="Z97" s="109">
        <f>Z98</f>
        <v>2155207.19</v>
      </c>
    </row>
    <row r="98" spans="1:26" ht="30.75" customHeight="1" x14ac:dyDescent="0.2">
      <c r="A98" s="76"/>
      <c r="B98" s="100" t="s">
        <v>44</v>
      </c>
      <c r="C98" s="36" t="s">
        <v>66</v>
      </c>
      <c r="D98" s="14" t="s">
        <v>83</v>
      </c>
      <c r="E98" s="10" t="s">
        <v>83</v>
      </c>
      <c r="F98" s="10" t="s">
        <v>83</v>
      </c>
      <c r="G98" s="15" t="s">
        <v>125</v>
      </c>
      <c r="H98" s="19" t="s">
        <v>83</v>
      </c>
      <c r="I98" s="135" t="s">
        <v>45</v>
      </c>
      <c r="J98" s="108">
        <v>539248.80000000005</v>
      </c>
      <c r="K98" s="1">
        <v>2614224.19</v>
      </c>
      <c r="L98" s="104">
        <v>0</v>
      </c>
      <c r="M98" s="104">
        <v>0</v>
      </c>
      <c r="N98" s="104">
        <v>0</v>
      </c>
      <c r="O98" s="104">
        <f>4688284.77+4455219.52</f>
        <v>9143504.2899999991</v>
      </c>
      <c r="P98" s="104">
        <v>0</v>
      </c>
      <c r="Q98" s="104">
        <v>0</v>
      </c>
      <c r="R98" s="104">
        <v>0</v>
      </c>
      <c r="S98" s="104">
        <f>4688284.77+4455219.52</f>
        <v>9143504.2899999991</v>
      </c>
      <c r="T98" s="104">
        <f>759504.79+1395702.4</f>
        <v>2155207.19</v>
      </c>
      <c r="U98" s="104">
        <v>0</v>
      </c>
      <c r="V98" s="104">
        <v>0</v>
      </c>
      <c r="W98" s="104">
        <f>4688284.77+4455219.52</f>
        <v>9143504.2899999991</v>
      </c>
      <c r="X98" s="104">
        <f>759504.79+1395702.4</f>
        <v>2155207.19</v>
      </c>
      <c r="Y98" s="104">
        <v>0</v>
      </c>
      <c r="Z98" s="104">
        <f>759504.79+1395702.4</f>
        <v>2155207.19</v>
      </c>
    </row>
    <row r="99" spans="1:26" ht="30.75" customHeight="1" x14ac:dyDescent="0.2">
      <c r="A99" s="76"/>
      <c r="B99" s="136" t="s">
        <v>111</v>
      </c>
      <c r="C99" s="36" t="s">
        <v>66</v>
      </c>
      <c r="D99" s="14" t="s">
        <v>83</v>
      </c>
      <c r="E99" s="10" t="s">
        <v>83</v>
      </c>
      <c r="F99" s="10" t="s">
        <v>83</v>
      </c>
      <c r="G99" s="15" t="s">
        <v>110</v>
      </c>
      <c r="H99" s="11" t="s">
        <v>83</v>
      </c>
      <c r="I99" s="135"/>
      <c r="J99" s="108">
        <f t="shared" ref="J99:Y100" si="37">J100</f>
        <v>4700000</v>
      </c>
      <c r="K99" s="1">
        <f t="shared" si="37"/>
        <v>0</v>
      </c>
      <c r="L99" s="1">
        <f t="shared" si="37"/>
        <v>0</v>
      </c>
      <c r="M99" s="1">
        <f t="shared" si="37"/>
        <v>0</v>
      </c>
      <c r="N99" s="1">
        <f t="shared" si="37"/>
        <v>0</v>
      </c>
      <c r="O99" s="109">
        <f t="shared" si="37"/>
        <v>10222000</v>
      </c>
      <c r="P99" s="109">
        <f t="shared" si="37"/>
        <v>0</v>
      </c>
      <c r="Q99" s="1">
        <f t="shared" si="37"/>
        <v>0</v>
      </c>
      <c r="R99" s="1">
        <f t="shared" si="37"/>
        <v>0</v>
      </c>
      <c r="S99" s="109">
        <f t="shared" si="37"/>
        <v>10222000</v>
      </c>
      <c r="T99" s="109">
        <f t="shared" si="37"/>
        <v>5264000</v>
      </c>
      <c r="U99" s="109">
        <f t="shared" si="37"/>
        <v>0</v>
      </c>
      <c r="V99" s="109">
        <f t="shared" si="37"/>
        <v>0</v>
      </c>
      <c r="W99" s="109">
        <f t="shared" si="37"/>
        <v>10222000</v>
      </c>
      <c r="X99" s="109">
        <f t="shared" si="37"/>
        <v>5264000</v>
      </c>
      <c r="Y99" s="109">
        <f t="shared" si="37"/>
        <v>0</v>
      </c>
      <c r="Z99" s="109">
        <f>Z100</f>
        <v>5264000</v>
      </c>
    </row>
    <row r="100" spans="1:26" ht="30.75" customHeight="1" x14ac:dyDescent="0.2">
      <c r="A100" s="76"/>
      <c r="B100" s="100" t="s">
        <v>42</v>
      </c>
      <c r="C100" s="36" t="s">
        <v>66</v>
      </c>
      <c r="D100" s="14" t="s">
        <v>83</v>
      </c>
      <c r="E100" s="10" t="s">
        <v>83</v>
      </c>
      <c r="F100" s="10" t="s">
        <v>83</v>
      </c>
      <c r="G100" s="15" t="s">
        <v>110</v>
      </c>
      <c r="H100" s="19" t="s">
        <v>83</v>
      </c>
      <c r="I100" s="135" t="s">
        <v>43</v>
      </c>
      <c r="J100" s="108">
        <f t="shared" si="37"/>
        <v>4700000</v>
      </c>
      <c r="K100" s="1">
        <f t="shared" si="37"/>
        <v>0</v>
      </c>
      <c r="L100" s="1">
        <f t="shared" si="37"/>
        <v>0</v>
      </c>
      <c r="M100" s="1">
        <f t="shared" si="37"/>
        <v>0</v>
      </c>
      <c r="N100" s="1">
        <f t="shared" si="37"/>
        <v>0</v>
      </c>
      <c r="O100" s="109">
        <f t="shared" si="37"/>
        <v>10222000</v>
      </c>
      <c r="P100" s="109">
        <f t="shared" si="37"/>
        <v>0</v>
      </c>
      <c r="Q100" s="1">
        <f t="shared" si="37"/>
        <v>0</v>
      </c>
      <c r="R100" s="1">
        <f t="shared" si="37"/>
        <v>0</v>
      </c>
      <c r="S100" s="109">
        <f t="shared" si="37"/>
        <v>10222000</v>
      </c>
      <c r="T100" s="109">
        <f t="shared" si="37"/>
        <v>5264000</v>
      </c>
      <c r="U100" s="109">
        <f t="shared" si="37"/>
        <v>0</v>
      </c>
      <c r="V100" s="109">
        <f t="shared" si="37"/>
        <v>0</v>
      </c>
      <c r="W100" s="109">
        <f t="shared" si="37"/>
        <v>10222000</v>
      </c>
      <c r="X100" s="109">
        <f t="shared" si="37"/>
        <v>5264000</v>
      </c>
      <c r="Y100" s="109">
        <f>Y101</f>
        <v>0</v>
      </c>
      <c r="Z100" s="109">
        <f>Z101</f>
        <v>5264000</v>
      </c>
    </row>
    <row r="101" spans="1:26" ht="30.75" customHeight="1" x14ac:dyDescent="0.2">
      <c r="A101" s="76"/>
      <c r="B101" s="100" t="s">
        <v>44</v>
      </c>
      <c r="C101" s="36" t="s">
        <v>66</v>
      </c>
      <c r="D101" s="14" t="s">
        <v>83</v>
      </c>
      <c r="E101" s="10" t="s">
        <v>83</v>
      </c>
      <c r="F101" s="10" t="s">
        <v>83</v>
      </c>
      <c r="G101" s="15" t="s">
        <v>110</v>
      </c>
      <c r="H101" s="19" t="s">
        <v>83</v>
      </c>
      <c r="I101" s="135" t="s">
        <v>45</v>
      </c>
      <c r="J101" s="108">
        <v>4700000</v>
      </c>
      <c r="K101" s="1">
        <v>0</v>
      </c>
      <c r="L101" s="104">
        <v>0</v>
      </c>
      <c r="M101" s="104">
        <v>0</v>
      </c>
      <c r="N101" s="104">
        <v>0</v>
      </c>
      <c r="O101" s="104">
        <v>10222000</v>
      </c>
      <c r="P101" s="104">
        <v>0</v>
      </c>
      <c r="Q101" s="104">
        <v>0</v>
      </c>
      <c r="R101" s="104">
        <v>0</v>
      </c>
      <c r="S101" s="104">
        <v>10222000</v>
      </c>
      <c r="T101" s="104">
        <v>5264000</v>
      </c>
      <c r="U101" s="104">
        <v>0</v>
      </c>
      <c r="V101" s="104">
        <v>0</v>
      </c>
      <c r="W101" s="104">
        <v>10222000</v>
      </c>
      <c r="X101" s="104">
        <v>5264000</v>
      </c>
      <c r="Y101" s="104">
        <v>0</v>
      </c>
      <c r="Z101" s="104">
        <v>5264000</v>
      </c>
    </row>
    <row r="102" spans="1:26" ht="39.75" customHeight="1" x14ac:dyDescent="0.2">
      <c r="A102" s="76"/>
      <c r="B102" s="100" t="s">
        <v>244</v>
      </c>
      <c r="C102" s="39" t="s">
        <v>66</v>
      </c>
      <c r="D102" s="16" t="s">
        <v>83</v>
      </c>
      <c r="E102" s="10" t="s">
        <v>83</v>
      </c>
      <c r="F102" s="10" t="s">
        <v>83</v>
      </c>
      <c r="G102" s="16" t="s">
        <v>274</v>
      </c>
      <c r="H102" s="11" t="s">
        <v>83</v>
      </c>
      <c r="I102" s="198"/>
      <c r="J102" s="12">
        <f t="shared" ref="J102:Z103" si="38">J103</f>
        <v>600000</v>
      </c>
      <c r="K102" s="13">
        <f t="shared" si="38"/>
        <v>0</v>
      </c>
      <c r="L102" s="104">
        <f t="shared" si="38"/>
        <v>0</v>
      </c>
      <c r="M102" s="104">
        <f t="shared" si="38"/>
        <v>0</v>
      </c>
      <c r="N102" s="104">
        <f t="shared" si="38"/>
        <v>0</v>
      </c>
      <c r="O102" s="103">
        <f t="shared" si="38"/>
        <v>10222000</v>
      </c>
      <c r="P102" s="104">
        <f t="shared" si="38"/>
        <v>0</v>
      </c>
      <c r="Q102" s="104">
        <f t="shared" si="38"/>
        <v>1781620</v>
      </c>
      <c r="R102" s="104">
        <f t="shared" si="38"/>
        <v>1781620</v>
      </c>
      <c r="S102" s="105">
        <f t="shared" si="38"/>
        <v>0</v>
      </c>
      <c r="T102" s="104">
        <f t="shared" si="38"/>
        <v>5264000</v>
      </c>
      <c r="U102" s="103">
        <f t="shared" si="38"/>
        <v>0</v>
      </c>
      <c r="V102" s="104">
        <f t="shared" si="38"/>
        <v>0</v>
      </c>
      <c r="W102" s="105">
        <f t="shared" si="38"/>
        <v>0</v>
      </c>
      <c r="X102" s="104">
        <f t="shared" si="38"/>
        <v>0</v>
      </c>
      <c r="Y102" s="104">
        <f t="shared" si="38"/>
        <v>0</v>
      </c>
      <c r="Z102" s="104">
        <f t="shared" si="38"/>
        <v>0</v>
      </c>
    </row>
    <row r="103" spans="1:26" ht="30.75" customHeight="1" x14ac:dyDescent="0.2">
      <c r="A103" s="76"/>
      <c r="B103" s="100" t="s">
        <v>42</v>
      </c>
      <c r="C103" s="39" t="s">
        <v>66</v>
      </c>
      <c r="D103" s="16" t="s">
        <v>83</v>
      </c>
      <c r="E103" s="10" t="s">
        <v>83</v>
      </c>
      <c r="F103" s="10" t="s">
        <v>83</v>
      </c>
      <c r="G103" s="16" t="s">
        <v>274</v>
      </c>
      <c r="H103" s="11" t="s">
        <v>83</v>
      </c>
      <c r="I103" s="198">
        <v>200</v>
      </c>
      <c r="J103" s="12">
        <f t="shared" si="38"/>
        <v>600000</v>
      </c>
      <c r="K103" s="13">
        <f t="shared" si="38"/>
        <v>0</v>
      </c>
      <c r="L103" s="104">
        <f t="shared" si="38"/>
        <v>0</v>
      </c>
      <c r="M103" s="104">
        <f t="shared" si="38"/>
        <v>0</v>
      </c>
      <c r="N103" s="104">
        <f t="shared" si="38"/>
        <v>0</v>
      </c>
      <c r="O103" s="103">
        <f t="shared" si="38"/>
        <v>10222000</v>
      </c>
      <c r="P103" s="104">
        <f t="shared" si="38"/>
        <v>0</v>
      </c>
      <c r="Q103" s="104">
        <f t="shared" si="38"/>
        <v>1781620</v>
      </c>
      <c r="R103" s="104">
        <f t="shared" si="38"/>
        <v>1781620</v>
      </c>
      <c r="S103" s="105">
        <f t="shared" si="38"/>
        <v>0</v>
      </c>
      <c r="T103" s="104">
        <f t="shared" si="38"/>
        <v>5264000</v>
      </c>
      <c r="U103" s="103">
        <f t="shared" si="38"/>
        <v>0</v>
      </c>
      <c r="V103" s="104">
        <f t="shared" si="38"/>
        <v>0</v>
      </c>
      <c r="W103" s="105">
        <f t="shared" si="38"/>
        <v>0</v>
      </c>
      <c r="X103" s="104">
        <f t="shared" si="38"/>
        <v>0</v>
      </c>
      <c r="Y103" s="104">
        <f t="shared" si="38"/>
        <v>0</v>
      </c>
      <c r="Z103" s="104">
        <f t="shared" si="38"/>
        <v>0</v>
      </c>
    </row>
    <row r="104" spans="1:26" ht="30.75" customHeight="1" x14ac:dyDescent="0.2">
      <c r="A104" s="76"/>
      <c r="B104" s="100" t="s">
        <v>44</v>
      </c>
      <c r="C104" s="39" t="s">
        <v>66</v>
      </c>
      <c r="D104" s="16" t="s">
        <v>83</v>
      </c>
      <c r="E104" s="10" t="s">
        <v>83</v>
      </c>
      <c r="F104" s="10" t="s">
        <v>83</v>
      </c>
      <c r="G104" s="16" t="s">
        <v>274</v>
      </c>
      <c r="H104" s="11" t="s">
        <v>83</v>
      </c>
      <c r="I104" s="198">
        <v>240</v>
      </c>
      <c r="J104" s="12">
        <v>600000</v>
      </c>
      <c r="K104" s="13">
        <v>0</v>
      </c>
      <c r="L104" s="104">
        <v>0</v>
      </c>
      <c r="M104" s="104">
        <v>0</v>
      </c>
      <c r="N104" s="104">
        <v>0</v>
      </c>
      <c r="O104" s="103">
        <v>10222000</v>
      </c>
      <c r="P104" s="104">
        <v>0</v>
      </c>
      <c r="Q104" s="104">
        <v>1781620</v>
      </c>
      <c r="R104" s="104">
        <f>Q104</f>
        <v>1781620</v>
      </c>
      <c r="S104" s="105">
        <v>0</v>
      </c>
      <c r="T104" s="104">
        <v>5264000</v>
      </c>
      <c r="U104" s="103">
        <v>0</v>
      </c>
      <c r="V104" s="104">
        <v>0</v>
      </c>
      <c r="W104" s="105">
        <v>0</v>
      </c>
      <c r="X104" s="104">
        <v>0</v>
      </c>
      <c r="Y104" s="104">
        <v>0</v>
      </c>
      <c r="Z104" s="104">
        <v>0</v>
      </c>
    </row>
    <row r="105" spans="1:26" ht="6.75" customHeight="1" x14ac:dyDescent="0.2">
      <c r="A105" s="76"/>
      <c r="B105" s="119"/>
      <c r="C105" s="120"/>
      <c r="D105" s="121"/>
      <c r="E105" s="121"/>
      <c r="F105" s="121"/>
      <c r="G105" s="121"/>
      <c r="H105" s="122"/>
      <c r="I105" s="123"/>
      <c r="J105" s="124"/>
      <c r="K105" s="125"/>
      <c r="L105" s="125"/>
      <c r="M105" s="125"/>
      <c r="N105" s="125"/>
      <c r="O105" s="126"/>
      <c r="P105" s="126"/>
      <c r="Q105" s="125"/>
      <c r="R105" s="125"/>
      <c r="S105" s="126"/>
      <c r="T105" s="126"/>
      <c r="U105" s="126"/>
      <c r="V105" s="126"/>
      <c r="W105" s="126"/>
      <c r="X105" s="126"/>
      <c r="Y105" s="126"/>
      <c r="Z105" s="126"/>
    </row>
    <row r="106" spans="1:26" ht="67.5" customHeight="1" x14ac:dyDescent="0.2">
      <c r="A106" s="76"/>
      <c r="B106" s="139" t="s">
        <v>250</v>
      </c>
      <c r="C106" s="140" t="s">
        <v>62</v>
      </c>
      <c r="D106" s="141" t="s">
        <v>83</v>
      </c>
      <c r="E106" s="142" t="s">
        <v>83</v>
      </c>
      <c r="F106" s="142" t="s">
        <v>83</v>
      </c>
      <c r="G106" s="141" t="s">
        <v>84</v>
      </c>
      <c r="H106" s="130" t="s">
        <v>83</v>
      </c>
      <c r="I106" s="72"/>
      <c r="J106" s="143" t="e">
        <f>#REF!+J107+J112</f>
        <v>#REF!</v>
      </c>
      <c r="K106" s="144" t="e">
        <f>#REF!+K107+K112</f>
        <v>#REF!</v>
      </c>
      <c r="L106" s="144">
        <f t="shared" ref="L106:X106" si="39">L107+L112+L115+L118</f>
        <v>2171224.5699999998</v>
      </c>
      <c r="M106" s="144">
        <f t="shared" si="39"/>
        <v>720000</v>
      </c>
      <c r="N106" s="144">
        <f t="shared" si="39"/>
        <v>2891224.57</v>
      </c>
      <c r="O106" s="145">
        <f t="shared" si="39"/>
        <v>5108475.05</v>
      </c>
      <c r="P106" s="145">
        <f t="shared" si="39"/>
        <v>0</v>
      </c>
      <c r="Q106" s="144">
        <f>Q107+Q112+Q115+Q118</f>
        <v>13478754</v>
      </c>
      <c r="R106" s="144">
        <f>R107+R112+R115+R118</f>
        <v>16369978.57</v>
      </c>
      <c r="S106" s="145">
        <f t="shared" si="39"/>
        <v>5108475.05</v>
      </c>
      <c r="T106" s="145">
        <f t="shared" si="39"/>
        <v>2603475.0499999998</v>
      </c>
      <c r="U106" s="145">
        <f t="shared" si="39"/>
        <v>0</v>
      </c>
      <c r="V106" s="145">
        <f>V107+V112+V115+V118</f>
        <v>0</v>
      </c>
      <c r="W106" s="145">
        <f>W107+W112+W115+W118</f>
        <v>5108475.05</v>
      </c>
      <c r="X106" s="145">
        <f t="shared" si="39"/>
        <v>2603475.0499999998</v>
      </c>
      <c r="Y106" s="145">
        <f>Y107+Y112+Y115+Y118</f>
        <v>0</v>
      </c>
      <c r="Z106" s="145">
        <f>Z107+Z112+Z115+Z118</f>
        <v>2603475.0499999998</v>
      </c>
    </row>
    <row r="107" spans="1:26" ht="25.5" x14ac:dyDescent="0.2">
      <c r="A107" s="76"/>
      <c r="B107" s="147" t="s">
        <v>265</v>
      </c>
      <c r="C107" s="20" t="s">
        <v>62</v>
      </c>
      <c r="D107" s="21" t="s">
        <v>83</v>
      </c>
      <c r="E107" s="10" t="s">
        <v>83</v>
      </c>
      <c r="F107" s="10" t="s">
        <v>83</v>
      </c>
      <c r="G107" s="21" t="s">
        <v>133</v>
      </c>
      <c r="H107" s="11" t="s">
        <v>83</v>
      </c>
      <c r="I107" s="96"/>
      <c r="J107" s="40" t="e">
        <f>J108+J110+#REF!</f>
        <v>#REF!</v>
      </c>
      <c r="K107" s="97" t="e">
        <f>K108+K110+#REF!</f>
        <v>#REF!</v>
      </c>
      <c r="L107" s="97">
        <f t="shared" ref="L107:X107" si="40">L108+L110</f>
        <v>0</v>
      </c>
      <c r="M107" s="97">
        <f t="shared" si="40"/>
        <v>0</v>
      </c>
      <c r="N107" s="97">
        <f t="shared" si="40"/>
        <v>0</v>
      </c>
      <c r="O107" s="98">
        <f t="shared" si="40"/>
        <v>325000</v>
      </c>
      <c r="P107" s="98">
        <f t="shared" si="40"/>
        <v>0</v>
      </c>
      <c r="Q107" s="97">
        <f>Q108+Q110</f>
        <v>0</v>
      </c>
      <c r="R107" s="97">
        <f>R108+R110</f>
        <v>0</v>
      </c>
      <c r="S107" s="98">
        <f t="shared" si="40"/>
        <v>325000</v>
      </c>
      <c r="T107" s="98">
        <f t="shared" si="40"/>
        <v>410000</v>
      </c>
      <c r="U107" s="98">
        <f t="shared" si="40"/>
        <v>0</v>
      </c>
      <c r="V107" s="98">
        <f>V108+V110</f>
        <v>0</v>
      </c>
      <c r="W107" s="98">
        <f>W108+W110</f>
        <v>325000</v>
      </c>
      <c r="X107" s="98">
        <f t="shared" si="40"/>
        <v>410000</v>
      </c>
      <c r="Y107" s="98">
        <f>Y108+Y110</f>
        <v>0</v>
      </c>
      <c r="Z107" s="98">
        <f>Z108+Z110</f>
        <v>410000</v>
      </c>
    </row>
    <row r="108" spans="1:26" ht="51" x14ac:dyDescent="0.2">
      <c r="A108" s="76"/>
      <c r="B108" s="100" t="s">
        <v>57</v>
      </c>
      <c r="C108" s="20" t="s">
        <v>62</v>
      </c>
      <c r="D108" s="21" t="s">
        <v>83</v>
      </c>
      <c r="E108" s="10" t="s">
        <v>83</v>
      </c>
      <c r="F108" s="10" t="s">
        <v>83</v>
      </c>
      <c r="G108" s="21" t="s">
        <v>133</v>
      </c>
      <c r="H108" s="11" t="s">
        <v>83</v>
      </c>
      <c r="I108" s="96" t="s">
        <v>50</v>
      </c>
      <c r="J108" s="40">
        <f t="shared" ref="J108:Z108" si="41">J109</f>
        <v>30000</v>
      </c>
      <c r="K108" s="97">
        <f t="shared" si="41"/>
        <v>0</v>
      </c>
      <c r="L108" s="112">
        <f t="shared" si="41"/>
        <v>0</v>
      </c>
      <c r="M108" s="112">
        <f t="shared" si="41"/>
        <v>0</v>
      </c>
      <c r="N108" s="112">
        <f t="shared" si="41"/>
        <v>0</v>
      </c>
      <c r="O108" s="112">
        <f t="shared" si="41"/>
        <v>30000</v>
      </c>
      <c r="P108" s="112">
        <f t="shared" si="41"/>
        <v>0</v>
      </c>
      <c r="Q108" s="112">
        <f t="shared" si="41"/>
        <v>0</v>
      </c>
      <c r="R108" s="112">
        <f t="shared" si="41"/>
        <v>0</v>
      </c>
      <c r="S108" s="112">
        <f t="shared" si="41"/>
        <v>30000</v>
      </c>
      <c r="T108" s="112">
        <f t="shared" si="41"/>
        <v>30000</v>
      </c>
      <c r="U108" s="112">
        <f t="shared" si="41"/>
        <v>0</v>
      </c>
      <c r="V108" s="112">
        <f t="shared" si="41"/>
        <v>0</v>
      </c>
      <c r="W108" s="112">
        <f t="shared" si="41"/>
        <v>30000</v>
      </c>
      <c r="X108" s="112">
        <f t="shared" si="41"/>
        <v>30000</v>
      </c>
      <c r="Y108" s="112">
        <f t="shared" si="41"/>
        <v>0</v>
      </c>
      <c r="Z108" s="112">
        <f t="shared" si="41"/>
        <v>30000</v>
      </c>
    </row>
    <row r="109" spans="1:26" ht="25.5" x14ac:dyDescent="0.2">
      <c r="A109" s="76"/>
      <c r="B109" s="100" t="s">
        <v>51</v>
      </c>
      <c r="C109" s="20" t="s">
        <v>62</v>
      </c>
      <c r="D109" s="21" t="s">
        <v>83</v>
      </c>
      <c r="E109" s="10" t="s">
        <v>83</v>
      </c>
      <c r="F109" s="10" t="s">
        <v>83</v>
      </c>
      <c r="G109" s="21" t="s">
        <v>133</v>
      </c>
      <c r="H109" s="11" t="s">
        <v>83</v>
      </c>
      <c r="I109" s="96" t="s">
        <v>115</v>
      </c>
      <c r="J109" s="40">
        <v>30000</v>
      </c>
      <c r="K109" s="97">
        <v>0</v>
      </c>
      <c r="L109" s="112">
        <v>0</v>
      </c>
      <c r="M109" s="112">
        <v>0</v>
      </c>
      <c r="N109" s="112">
        <v>0</v>
      </c>
      <c r="O109" s="112">
        <v>30000</v>
      </c>
      <c r="P109" s="112">
        <v>0</v>
      </c>
      <c r="Q109" s="112">
        <v>0</v>
      </c>
      <c r="R109" s="112">
        <v>0</v>
      </c>
      <c r="S109" s="112">
        <v>30000</v>
      </c>
      <c r="T109" s="112">
        <v>30000</v>
      </c>
      <c r="U109" s="112">
        <v>0</v>
      </c>
      <c r="V109" s="112">
        <v>0</v>
      </c>
      <c r="W109" s="112">
        <v>30000</v>
      </c>
      <c r="X109" s="112">
        <v>30000</v>
      </c>
      <c r="Y109" s="112">
        <v>0</v>
      </c>
      <c r="Z109" s="112">
        <v>30000</v>
      </c>
    </row>
    <row r="110" spans="1:26" ht="25.5" x14ac:dyDescent="0.2">
      <c r="A110" s="76"/>
      <c r="B110" s="100" t="s">
        <v>42</v>
      </c>
      <c r="C110" s="20" t="s">
        <v>62</v>
      </c>
      <c r="D110" s="21" t="s">
        <v>83</v>
      </c>
      <c r="E110" s="10" t="s">
        <v>83</v>
      </c>
      <c r="F110" s="10" t="s">
        <v>83</v>
      </c>
      <c r="G110" s="21" t="s">
        <v>133</v>
      </c>
      <c r="H110" s="11" t="s">
        <v>83</v>
      </c>
      <c r="I110" s="96" t="s">
        <v>43</v>
      </c>
      <c r="J110" s="40">
        <f t="shared" ref="J110:Z110" si="42">J111</f>
        <v>40000</v>
      </c>
      <c r="K110" s="97">
        <f t="shared" si="42"/>
        <v>0</v>
      </c>
      <c r="L110" s="112">
        <f t="shared" si="42"/>
        <v>0</v>
      </c>
      <c r="M110" s="112">
        <f t="shared" si="42"/>
        <v>0</v>
      </c>
      <c r="N110" s="112">
        <f t="shared" si="42"/>
        <v>0</v>
      </c>
      <c r="O110" s="112">
        <f t="shared" si="42"/>
        <v>295000</v>
      </c>
      <c r="P110" s="112">
        <f t="shared" si="42"/>
        <v>0</v>
      </c>
      <c r="Q110" s="112">
        <f t="shared" si="42"/>
        <v>0</v>
      </c>
      <c r="R110" s="112">
        <f t="shared" si="42"/>
        <v>0</v>
      </c>
      <c r="S110" s="112">
        <f t="shared" si="42"/>
        <v>295000</v>
      </c>
      <c r="T110" s="112">
        <f t="shared" si="42"/>
        <v>380000</v>
      </c>
      <c r="U110" s="112">
        <f t="shared" si="42"/>
        <v>0</v>
      </c>
      <c r="V110" s="112">
        <f t="shared" si="42"/>
        <v>0</v>
      </c>
      <c r="W110" s="112">
        <f t="shared" si="42"/>
        <v>295000</v>
      </c>
      <c r="X110" s="112">
        <f t="shared" si="42"/>
        <v>380000</v>
      </c>
      <c r="Y110" s="112">
        <f t="shared" si="42"/>
        <v>0</v>
      </c>
      <c r="Z110" s="112">
        <f t="shared" si="42"/>
        <v>380000</v>
      </c>
    </row>
    <row r="111" spans="1:26" ht="25.5" x14ac:dyDescent="0.2">
      <c r="A111" s="76"/>
      <c r="B111" s="100" t="s">
        <v>44</v>
      </c>
      <c r="C111" s="20" t="s">
        <v>62</v>
      </c>
      <c r="D111" s="21" t="s">
        <v>83</v>
      </c>
      <c r="E111" s="10" t="s">
        <v>83</v>
      </c>
      <c r="F111" s="10" t="s">
        <v>83</v>
      </c>
      <c r="G111" s="21" t="s">
        <v>133</v>
      </c>
      <c r="H111" s="11" t="s">
        <v>83</v>
      </c>
      <c r="I111" s="96" t="s">
        <v>45</v>
      </c>
      <c r="J111" s="40">
        <v>40000</v>
      </c>
      <c r="K111" s="97">
        <v>0</v>
      </c>
      <c r="L111" s="112">
        <v>0</v>
      </c>
      <c r="M111" s="112">
        <v>0</v>
      </c>
      <c r="N111" s="112">
        <v>0</v>
      </c>
      <c r="O111" s="112">
        <v>295000</v>
      </c>
      <c r="P111" s="112">
        <v>0</v>
      </c>
      <c r="Q111" s="112">
        <v>0</v>
      </c>
      <c r="R111" s="112">
        <v>0</v>
      </c>
      <c r="S111" s="112">
        <v>295000</v>
      </c>
      <c r="T111" s="112">
        <v>380000</v>
      </c>
      <c r="U111" s="112">
        <v>0</v>
      </c>
      <c r="V111" s="112">
        <v>0</v>
      </c>
      <c r="W111" s="112">
        <v>295000</v>
      </c>
      <c r="X111" s="112">
        <v>380000</v>
      </c>
      <c r="Y111" s="112">
        <v>0</v>
      </c>
      <c r="Z111" s="112">
        <v>380000</v>
      </c>
    </row>
    <row r="112" spans="1:26" ht="63" customHeight="1" x14ac:dyDescent="0.2">
      <c r="A112" s="76"/>
      <c r="B112" s="95" t="s">
        <v>264</v>
      </c>
      <c r="C112" s="4" t="s">
        <v>62</v>
      </c>
      <c r="D112" s="5" t="s">
        <v>83</v>
      </c>
      <c r="E112" s="10" t="s">
        <v>83</v>
      </c>
      <c r="F112" s="10" t="s">
        <v>83</v>
      </c>
      <c r="G112" s="10" t="s">
        <v>122</v>
      </c>
      <c r="H112" s="19" t="s">
        <v>83</v>
      </c>
      <c r="I112" s="135"/>
      <c r="J112" s="40">
        <f t="shared" ref="J112:Y113" si="43">J113</f>
        <v>35000</v>
      </c>
      <c r="K112" s="97">
        <f t="shared" si="43"/>
        <v>0</v>
      </c>
      <c r="L112" s="104">
        <f t="shared" si="43"/>
        <v>0</v>
      </c>
      <c r="M112" s="104">
        <f t="shared" si="43"/>
        <v>20000</v>
      </c>
      <c r="N112" s="104">
        <f t="shared" si="43"/>
        <v>20000</v>
      </c>
      <c r="O112" s="104">
        <f t="shared" si="43"/>
        <v>50000</v>
      </c>
      <c r="P112" s="104">
        <f t="shared" si="43"/>
        <v>0</v>
      </c>
      <c r="Q112" s="104">
        <f t="shared" si="43"/>
        <v>0</v>
      </c>
      <c r="R112" s="104">
        <f t="shared" si="43"/>
        <v>20000</v>
      </c>
      <c r="S112" s="104">
        <f t="shared" si="43"/>
        <v>50000</v>
      </c>
      <c r="T112" s="104">
        <f t="shared" si="43"/>
        <v>60000</v>
      </c>
      <c r="U112" s="104">
        <f t="shared" si="43"/>
        <v>0</v>
      </c>
      <c r="V112" s="104">
        <f t="shared" si="43"/>
        <v>0</v>
      </c>
      <c r="W112" s="104">
        <f t="shared" si="43"/>
        <v>50000</v>
      </c>
      <c r="X112" s="104">
        <f t="shared" si="43"/>
        <v>60000</v>
      </c>
      <c r="Y112" s="104">
        <f t="shared" si="43"/>
        <v>0</v>
      </c>
      <c r="Z112" s="104">
        <f>Z113</f>
        <v>60000</v>
      </c>
    </row>
    <row r="113" spans="1:26" ht="31.5" customHeight="1" x14ac:dyDescent="0.2">
      <c r="A113" s="76"/>
      <c r="B113" s="100" t="s">
        <v>21</v>
      </c>
      <c r="C113" s="4" t="s">
        <v>62</v>
      </c>
      <c r="D113" s="5" t="s">
        <v>83</v>
      </c>
      <c r="E113" s="10" t="s">
        <v>83</v>
      </c>
      <c r="F113" s="10" t="s">
        <v>83</v>
      </c>
      <c r="G113" s="10" t="s">
        <v>122</v>
      </c>
      <c r="H113" s="19" t="s">
        <v>83</v>
      </c>
      <c r="I113" s="135" t="s">
        <v>96</v>
      </c>
      <c r="J113" s="40">
        <f t="shared" si="43"/>
        <v>35000</v>
      </c>
      <c r="K113" s="97">
        <f t="shared" si="43"/>
        <v>0</v>
      </c>
      <c r="L113" s="104">
        <f t="shared" si="43"/>
        <v>0</v>
      </c>
      <c r="M113" s="104">
        <f t="shared" si="43"/>
        <v>20000</v>
      </c>
      <c r="N113" s="104">
        <f t="shared" si="43"/>
        <v>20000</v>
      </c>
      <c r="O113" s="104">
        <f t="shared" si="43"/>
        <v>50000</v>
      </c>
      <c r="P113" s="104">
        <f t="shared" si="43"/>
        <v>0</v>
      </c>
      <c r="Q113" s="104">
        <f t="shared" si="43"/>
        <v>0</v>
      </c>
      <c r="R113" s="104">
        <f t="shared" si="43"/>
        <v>20000</v>
      </c>
      <c r="S113" s="104">
        <f t="shared" si="43"/>
        <v>50000</v>
      </c>
      <c r="T113" s="104">
        <f t="shared" si="43"/>
        <v>60000</v>
      </c>
      <c r="U113" s="104">
        <f t="shared" si="43"/>
        <v>0</v>
      </c>
      <c r="V113" s="104">
        <f t="shared" si="43"/>
        <v>0</v>
      </c>
      <c r="W113" s="104">
        <f t="shared" si="43"/>
        <v>50000</v>
      </c>
      <c r="X113" s="104">
        <f t="shared" si="43"/>
        <v>60000</v>
      </c>
      <c r="Y113" s="104">
        <f>Y114</f>
        <v>0</v>
      </c>
      <c r="Z113" s="104">
        <f>Z114</f>
        <v>60000</v>
      </c>
    </row>
    <row r="114" spans="1:26" ht="42.75" customHeight="1" x14ac:dyDescent="0.2">
      <c r="A114" s="76"/>
      <c r="B114" s="148" t="s">
        <v>141</v>
      </c>
      <c r="C114" s="4" t="s">
        <v>62</v>
      </c>
      <c r="D114" s="5" t="s">
        <v>83</v>
      </c>
      <c r="E114" s="10" t="s">
        <v>83</v>
      </c>
      <c r="F114" s="10" t="s">
        <v>83</v>
      </c>
      <c r="G114" s="10" t="s">
        <v>122</v>
      </c>
      <c r="H114" s="19" t="s">
        <v>83</v>
      </c>
      <c r="I114" s="135" t="s">
        <v>102</v>
      </c>
      <c r="J114" s="40">
        <v>35000</v>
      </c>
      <c r="K114" s="40">
        <v>0</v>
      </c>
      <c r="L114" s="104">
        <v>0</v>
      </c>
      <c r="M114" s="104">
        <v>20000</v>
      </c>
      <c r="N114" s="104">
        <f>M114</f>
        <v>20000</v>
      </c>
      <c r="O114" s="104">
        <v>50000</v>
      </c>
      <c r="P114" s="104">
        <v>0</v>
      </c>
      <c r="Q114" s="104">
        <f>P114</f>
        <v>0</v>
      </c>
      <c r="R114" s="104">
        <v>20000</v>
      </c>
      <c r="S114" s="104">
        <v>50000</v>
      </c>
      <c r="T114" s="104">
        <v>60000</v>
      </c>
      <c r="U114" s="104">
        <v>0</v>
      </c>
      <c r="V114" s="104">
        <v>0</v>
      </c>
      <c r="W114" s="104">
        <v>50000</v>
      </c>
      <c r="X114" s="104">
        <v>60000</v>
      </c>
      <c r="Y114" s="104">
        <v>0</v>
      </c>
      <c r="Z114" s="104">
        <v>60000</v>
      </c>
    </row>
    <row r="115" spans="1:26" ht="42.75" customHeight="1" x14ac:dyDescent="0.2">
      <c r="A115" s="76"/>
      <c r="B115" s="95" t="s">
        <v>210</v>
      </c>
      <c r="C115" s="4" t="s">
        <v>62</v>
      </c>
      <c r="D115" s="5" t="s">
        <v>83</v>
      </c>
      <c r="E115" s="10" t="s">
        <v>83</v>
      </c>
      <c r="F115" s="10" t="s">
        <v>83</v>
      </c>
      <c r="G115" s="10" t="s">
        <v>209</v>
      </c>
      <c r="H115" s="19" t="s">
        <v>83</v>
      </c>
      <c r="I115" s="268"/>
      <c r="J115" s="12">
        <f t="shared" ref="J115:Y116" si="44">J116</f>
        <v>35000</v>
      </c>
      <c r="K115" s="13">
        <f t="shared" si="44"/>
        <v>0</v>
      </c>
      <c r="L115" s="104">
        <f t="shared" si="44"/>
        <v>2171224.5699999998</v>
      </c>
      <c r="M115" s="104">
        <f t="shared" si="44"/>
        <v>0</v>
      </c>
      <c r="N115" s="104">
        <f t="shared" si="44"/>
        <v>2171224.5699999998</v>
      </c>
      <c r="O115" s="104">
        <f t="shared" si="44"/>
        <v>2133475.0499999998</v>
      </c>
      <c r="P115" s="104">
        <f t="shared" si="44"/>
        <v>0</v>
      </c>
      <c r="Q115" s="104">
        <f t="shared" si="44"/>
        <v>0</v>
      </c>
      <c r="R115" s="104">
        <f t="shared" si="44"/>
        <v>2171224.5699999998</v>
      </c>
      <c r="S115" s="104">
        <f t="shared" si="44"/>
        <v>2133475.0499999998</v>
      </c>
      <c r="T115" s="104">
        <f t="shared" si="44"/>
        <v>2133475.0499999998</v>
      </c>
      <c r="U115" s="104">
        <f t="shared" si="44"/>
        <v>0</v>
      </c>
      <c r="V115" s="104">
        <f t="shared" si="44"/>
        <v>0</v>
      </c>
      <c r="W115" s="104">
        <f t="shared" si="44"/>
        <v>2133475.0499999998</v>
      </c>
      <c r="X115" s="104">
        <f t="shared" si="44"/>
        <v>2133475.0499999998</v>
      </c>
      <c r="Y115" s="104">
        <f t="shared" si="44"/>
        <v>0</v>
      </c>
      <c r="Z115" s="104">
        <f>Z116</f>
        <v>2133475.0499999998</v>
      </c>
    </row>
    <row r="116" spans="1:26" ht="36" customHeight="1" x14ac:dyDescent="0.2">
      <c r="A116" s="76"/>
      <c r="B116" s="100" t="s">
        <v>42</v>
      </c>
      <c r="C116" s="4" t="s">
        <v>62</v>
      </c>
      <c r="D116" s="5" t="s">
        <v>83</v>
      </c>
      <c r="E116" s="10" t="s">
        <v>83</v>
      </c>
      <c r="F116" s="10" t="s">
        <v>83</v>
      </c>
      <c r="G116" s="10" t="s">
        <v>209</v>
      </c>
      <c r="H116" s="19" t="s">
        <v>83</v>
      </c>
      <c r="I116" s="260" t="s">
        <v>43</v>
      </c>
      <c r="J116" s="12">
        <f t="shared" si="44"/>
        <v>35000</v>
      </c>
      <c r="K116" s="13">
        <f t="shared" si="44"/>
        <v>0</v>
      </c>
      <c r="L116" s="104">
        <f t="shared" si="44"/>
        <v>2171224.5699999998</v>
      </c>
      <c r="M116" s="104">
        <f t="shared" si="44"/>
        <v>0</v>
      </c>
      <c r="N116" s="104">
        <f t="shared" si="44"/>
        <v>2171224.5699999998</v>
      </c>
      <c r="O116" s="104">
        <f t="shared" si="44"/>
        <v>2133475.0499999998</v>
      </c>
      <c r="P116" s="104">
        <f t="shared" si="44"/>
        <v>0</v>
      </c>
      <c r="Q116" s="104">
        <f t="shared" si="44"/>
        <v>0</v>
      </c>
      <c r="R116" s="104">
        <f t="shared" si="44"/>
        <v>2171224.5699999998</v>
      </c>
      <c r="S116" s="104">
        <f t="shared" si="44"/>
        <v>2133475.0499999998</v>
      </c>
      <c r="T116" s="104">
        <f t="shared" si="44"/>
        <v>2133475.0499999998</v>
      </c>
      <c r="U116" s="104">
        <f t="shared" si="44"/>
        <v>0</v>
      </c>
      <c r="V116" s="104">
        <f t="shared" si="44"/>
        <v>0</v>
      </c>
      <c r="W116" s="104">
        <f t="shared" si="44"/>
        <v>2133475.0499999998</v>
      </c>
      <c r="X116" s="104">
        <f t="shared" si="44"/>
        <v>2133475.0499999998</v>
      </c>
      <c r="Y116" s="104">
        <f>Y117</f>
        <v>0</v>
      </c>
      <c r="Z116" s="104">
        <f>Z117</f>
        <v>2133475.0499999998</v>
      </c>
    </row>
    <row r="117" spans="1:26" ht="33.75" customHeight="1" x14ac:dyDescent="0.2">
      <c r="A117" s="76"/>
      <c r="B117" s="100" t="s">
        <v>44</v>
      </c>
      <c r="C117" s="4" t="s">
        <v>62</v>
      </c>
      <c r="D117" s="5" t="s">
        <v>83</v>
      </c>
      <c r="E117" s="10" t="s">
        <v>83</v>
      </c>
      <c r="F117" s="10" t="s">
        <v>83</v>
      </c>
      <c r="G117" s="10" t="s">
        <v>209</v>
      </c>
      <c r="H117" s="19" t="s">
        <v>83</v>
      </c>
      <c r="I117" s="260" t="s">
        <v>45</v>
      </c>
      <c r="J117" s="12">
        <v>35000</v>
      </c>
      <c r="K117" s="13">
        <v>0</v>
      </c>
      <c r="L117" s="104">
        <f>1628418.43+542806.14</f>
        <v>2171224.5699999998</v>
      </c>
      <c r="M117" s="104">
        <v>0</v>
      </c>
      <c r="N117" s="104">
        <f>1628418.43+542806.14</f>
        <v>2171224.5699999998</v>
      </c>
      <c r="O117" s="104">
        <f>1600075.05+533400</f>
        <v>2133475.0499999998</v>
      </c>
      <c r="P117" s="104">
        <v>0</v>
      </c>
      <c r="Q117" s="104">
        <v>0</v>
      </c>
      <c r="R117" s="104">
        <f>1628418.43+542806.14</f>
        <v>2171224.5699999998</v>
      </c>
      <c r="S117" s="104">
        <f>1600075.05+533400</f>
        <v>2133475.0499999998</v>
      </c>
      <c r="T117" s="104">
        <f>1600075.05+533400</f>
        <v>2133475.0499999998</v>
      </c>
      <c r="U117" s="104">
        <v>0</v>
      </c>
      <c r="V117" s="104">
        <v>0</v>
      </c>
      <c r="W117" s="104">
        <f>1600075.05+533400</f>
        <v>2133475.0499999998</v>
      </c>
      <c r="X117" s="104">
        <f>1600075.05+533400</f>
        <v>2133475.0499999998</v>
      </c>
      <c r="Y117" s="104">
        <v>0</v>
      </c>
      <c r="Z117" s="104">
        <f>1600075.05+533400</f>
        <v>2133475.0499999998</v>
      </c>
    </row>
    <row r="118" spans="1:26" ht="66" customHeight="1" x14ac:dyDescent="0.2">
      <c r="A118" s="76"/>
      <c r="B118" s="100" t="s">
        <v>252</v>
      </c>
      <c r="C118" s="4" t="s">
        <v>62</v>
      </c>
      <c r="D118" s="5" t="s">
        <v>83</v>
      </c>
      <c r="E118" s="10" t="s">
        <v>83</v>
      </c>
      <c r="F118" s="10" t="s">
        <v>83</v>
      </c>
      <c r="G118" s="10" t="s">
        <v>251</v>
      </c>
      <c r="H118" s="19" t="s">
        <v>83</v>
      </c>
      <c r="I118" s="268"/>
      <c r="J118" s="12"/>
      <c r="K118" s="12"/>
      <c r="L118" s="104">
        <f t="shared" ref="L118:Z119" si="45">L119</f>
        <v>0</v>
      </c>
      <c r="M118" s="104">
        <f t="shared" si="45"/>
        <v>700000</v>
      </c>
      <c r="N118" s="104">
        <f t="shared" si="45"/>
        <v>700000</v>
      </c>
      <c r="O118" s="104">
        <f t="shared" si="45"/>
        <v>2600000</v>
      </c>
      <c r="P118" s="104">
        <f t="shared" si="45"/>
        <v>0</v>
      </c>
      <c r="Q118" s="104">
        <f t="shared" si="45"/>
        <v>13478754</v>
      </c>
      <c r="R118" s="104">
        <f t="shared" si="45"/>
        <v>14178754</v>
      </c>
      <c r="S118" s="104">
        <f t="shared" si="45"/>
        <v>2600000</v>
      </c>
      <c r="T118" s="104">
        <f t="shared" si="45"/>
        <v>0</v>
      </c>
      <c r="U118" s="104">
        <f t="shared" si="45"/>
        <v>0</v>
      </c>
      <c r="V118" s="104">
        <f t="shared" si="45"/>
        <v>0</v>
      </c>
      <c r="W118" s="104">
        <f t="shared" si="45"/>
        <v>2600000</v>
      </c>
      <c r="X118" s="104">
        <f t="shared" si="45"/>
        <v>0</v>
      </c>
      <c r="Y118" s="104">
        <f t="shared" si="45"/>
        <v>0</v>
      </c>
      <c r="Z118" s="104">
        <f t="shared" si="45"/>
        <v>0</v>
      </c>
    </row>
    <row r="119" spans="1:26" ht="42.75" customHeight="1" x14ac:dyDescent="0.2">
      <c r="A119" s="76"/>
      <c r="B119" s="100" t="s">
        <v>42</v>
      </c>
      <c r="C119" s="4" t="s">
        <v>62</v>
      </c>
      <c r="D119" s="5" t="s">
        <v>83</v>
      </c>
      <c r="E119" s="10" t="s">
        <v>83</v>
      </c>
      <c r="F119" s="10" t="s">
        <v>83</v>
      </c>
      <c r="G119" s="10" t="s">
        <v>251</v>
      </c>
      <c r="H119" s="19" t="s">
        <v>83</v>
      </c>
      <c r="I119" s="260" t="s">
        <v>43</v>
      </c>
      <c r="J119" s="12"/>
      <c r="K119" s="12"/>
      <c r="L119" s="104">
        <f t="shared" si="45"/>
        <v>0</v>
      </c>
      <c r="M119" s="104">
        <f t="shared" si="45"/>
        <v>700000</v>
      </c>
      <c r="N119" s="104">
        <f t="shared" si="45"/>
        <v>700000</v>
      </c>
      <c r="O119" s="104">
        <f t="shared" si="45"/>
        <v>2600000</v>
      </c>
      <c r="P119" s="104">
        <f t="shared" si="45"/>
        <v>0</v>
      </c>
      <c r="Q119" s="104">
        <f t="shared" si="45"/>
        <v>13478754</v>
      </c>
      <c r="R119" s="104">
        <f t="shared" si="45"/>
        <v>14178754</v>
      </c>
      <c r="S119" s="104">
        <f t="shared" si="45"/>
        <v>2600000</v>
      </c>
      <c r="T119" s="104">
        <f t="shared" si="45"/>
        <v>0</v>
      </c>
      <c r="U119" s="104">
        <f t="shared" si="45"/>
        <v>0</v>
      </c>
      <c r="V119" s="104">
        <f t="shared" si="45"/>
        <v>0</v>
      </c>
      <c r="W119" s="104">
        <f t="shared" si="45"/>
        <v>2600000</v>
      </c>
      <c r="X119" s="104">
        <f t="shared" si="45"/>
        <v>0</v>
      </c>
      <c r="Y119" s="104">
        <f t="shared" si="45"/>
        <v>0</v>
      </c>
      <c r="Z119" s="104">
        <f t="shared" si="45"/>
        <v>0</v>
      </c>
    </row>
    <row r="120" spans="1:26" ht="42.75" customHeight="1" x14ac:dyDescent="0.2">
      <c r="A120" s="76"/>
      <c r="B120" s="100" t="s">
        <v>44</v>
      </c>
      <c r="C120" s="4" t="s">
        <v>62</v>
      </c>
      <c r="D120" s="5" t="s">
        <v>83</v>
      </c>
      <c r="E120" s="10" t="s">
        <v>83</v>
      </c>
      <c r="F120" s="10" t="s">
        <v>83</v>
      </c>
      <c r="G120" s="10" t="s">
        <v>251</v>
      </c>
      <c r="H120" s="19" t="s">
        <v>83</v>
      </c>
      <c r="I120" s="260" t="s">
        <v>45</v>
      </c>
      <c r="J120" s="12"/>
      <c r="K120" s="12"/>
      <c r="L120" s="104">
        <v>0</v>
      </c>
      <c r="M120" s="104">
        <v>700000</v>
      </c>
      <c r="N120" s="104">
        <f>M120+L120</f>
        <v>700000</v>
      </c>
      <c r="O120" s="104">
        <v>2600000</v>
      </c>
      <c r="P120" s="104">
        <v>0</v>
      </c>
      <c r="Q120" s="104">
        <v>13478754</v>
      </c>
      <c r="R120" s="104">
        <f>Q120+N120</f>
        <v>14178754</v>
      </c>
      <c r="S120" s="104">
        <v>2600000</v>
      </c>
      <c r="T120" s="104">
        <v>0</v>
      </c>
      <c r="U120" s="104">
        <v>0</v>
      </c>
      <c r="V120" s="104">
        <v>0</v>
      </c>
      <c r="W120" s="104">
        <v>2600000</v>
      </c>
      <c r="X120" s="104">
        <v>0</v>
      </c>
      <c r="Y120" s="104">
        <v>0</v>
      </c>
      <c r="Z120" s="104">
        <v>0</v>
      </c>
    </row>
    <row r="121" spans="1:26" ht="6.75" customHeight="1" x14ac:dyDescent="0.2">
      <c r="A121" s="76"/>
      <c r="B121" s="148"/>
      <c r="C121" s="46"/>
      <c r="D121" s="150"/>
      <c r="E121" s="26"/>
      <c r="F121" s="26"/>
      <c r="G121" s="26"/>
      <c r="H121" s="151"/>
      <c r="I121" s="152"/>
      <c r="J121" s="40"/>
      <c r="K121" s="97"/>
      <c r="L121" s="153"/>
      <c r="M121" s="153"/>
      <c r="N121" s="153"/>
      <c r="O121" s="154"/>
      <c r="P121" s="154"/>
      <c r="Q121" s="153"/>
      <c r="R121" s="153"/>
      <c r="S121" s="154"/>
      <c r="T121" s="154"/>
      <c r="U121" s="154"/>
      <c r="V121" s="154"/>
      <c r="W121" s="154"/>
      <c r="X121" s="154"/>
      <c r="Y121" s="154"/>
      <c r="Z121" s="154"/>
    </row>
    <row r="122" spans="1:26" ht="12" customHeight="1" x14ac:dyDescent="0.2">
      <c r="A122" s="76"/>
      <c r="B122" s="156"/>
      <c r="C122" s="157"/>
      <c r="D122" s="158"/>
      <c r="E122" s="158"/>
      <c r="F122" s="158"/>
      <c r="G122" s="159"/>
      <c r="H122" s="160"/>
      <c r="I122" s="161"/>
      <c r="J122" s="162"/>
      <c r="K122" s="163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78.75" x14ac:dyDescent="0.2">
      <c r="A123" s="76"/>
      <c r="B123" s="139" t="s">
        <v>237</v>
      </c>
      <c r="C123" s="87" t="s">
        <v>61</v>
      </c>
      <c r="D123" s="88" t="s">
        <v>83</v>
      </c>
      <c r="E123" s="115" t="s">
        <v>83</v>
      </c>
      <c r="F123" s="115" t="s">
        <v>83</v>
      </c>
      <c r="G123" s="88" t="s">
        <v>84</v>
      </c>
      <c r="H123" s="116" t="s">
        <v>83</v>
      </c>
      <c r="I123" s="107"/>
      <c r="J123" s="83" t="e">
        <f>J124+#REF!+J127</f>
        <v>#REF!</v>
      </c>
      <c r="K123" s="84" t="e">
        <f>K124+#REF!+K127</f>
        <v>#REF!</v>
      </c>
      <c r="L123" s="85">
        <f>L124+L127</f>
        <v>0</v>
      </c>
      <c r="M123" s="85">
        <f>M124+M127</f>
        <v>0</v>
      </c>
      <c r="N123" s="85">
        <f>N124+N127+N130</f>
        <v>0</v>
      </c>
      <c r="O123" s="85">
        <f t="shared" ref="O123:Z123" si="46">O124+O127+O130</f>
        <v>22460578.550000001</v>
      </c>
      <c r="P123" s="85">
        <f t="shared" si="46"/>
        <v>0</v>
      </c>
      <c r="Q123" s="85">
        <f t="shared" si="46"/>
        <v>3950000</v>
      </c>
      <c r="R123" s="85">
        <f t="shared" si="46"/>
        <v>3950000</v>
      </c>
      <c r="S123" s="85">
        <f t="shared" si="46"/>
        <v>20360578.550000001</v>
      </c>
      <c r="T123" s="85">
        <f t="shared" si="46"/>
        <v>10700294.42</v>
      </c>
      <c r="U123" s="85">
        <f t="shared" si="46"/>
        <v>0</v>
      </c>
      <c r="V123" s="85">
        <f t="shared" si="46"/>
        <v>0</v>
      </c>
      <c r="W123" s="85">
        <f t="shared" si="46"/>
        <v>20360578.550000001</v>
      </c>
      <c r="X123" s="85">
        <f t="shared" si="46"/>
        <v>10700294.42</v>
      </c>
      <c r="Y123" s="85">
        <f t="shared" si="46"/>
        <v>0</v>
      </c>
      <c r="Z123" s="85">
        <f t="shared" si="46"/>
        <v>10700294.42</v>
      </c>
    </row>
    <row r="124" spans="1:26" ht="25.5" x14ac:dyDescent="0.2">
      <c r="B124" s="166" t="s">
        <v>120</v>
      </c>
      <c r="C124" s="34" t="s">
        <v>61</v>
      </c>
      <c r="D124" s="5" t="s">
        <v>83</v>
      </c>
      <c r="E124" s="10" t="s">
        <v>83</v>
      </c>
      <c r="F124" s="10" t="s">
        <v>83</v>
      </c>
      <c r="G124" s="10" t="s">
        <v>119</v>
      </c>
      <c r="H124" s="11" t="s">
        <v>83</v>
      </c>
      <c r="I124" s="102"/>
      <c r="J124" s="40">
        <f t="shared" ref="J124:Y125" si="47">J125</f>
        <v>300000</v>
      </c>
      <c r="K124" s="97">
        <f t="shared" si="47"/>
        <v>0</v>
      </c>
      <c r="L124" s="98">
        <f t="shared" si="47"/>
        <v>0</v>
      </c>
      <c r="M124" s="98">
        <f t="shared" si="47"/>
        <v>0</v>
      </c>
      <c r="N124" s="98">
        <f t="shared" si="47"/>
        <v>0</v>
      </c>
      <c r="O124" s="98">
        <f t="shared" si="47"/>
        <v>20360578.550000001</v>
      </c>
      <c r="P124" s="98">
        <f t="shared" si="47"/>
        <v>0</v>
      </c>
      <c r="Q124" s="98">
        <f t="shared" si="47"/>
        <v>0</v>
      </c>
      <c r="R124" s="98">
        <f t="shared" si="47"/>
        <v>0</v>
      </c>
      <c r="S124" s="98">
        <f t="shared" si="47"/>
        <v>20360578.550000001</v>
      </c>
      <c r="T124" s="98">
        <f t="shared" si="47"/>
        <v>9769773.4199999999</v>
      </c>
      <c r="U124" s="98">
        <f t="shared" si="47"/>
        <v>0</v>
      </c>
      <c r="V124" s="98">
        <f t="shared" si="47"/>
        <v>0</v>
      </c>
      <c r="W124" s="98">
        <f t="shared" si="47"/>
        <v>20360578.550000001</v>
      </c>
      <c r="X124" s="98">
        <f t="shared" si="47"/>
        <v>9769773.4199999999</v>
      </c>
      <c r="Y124" s="98">
        <f t="shared" si="47"/>
        <v>0</v>
      </c>
      <c r="Z124" s="98">
        <f>Z125</f>
        <v>9769773.4199999999</v>
      </c>
    </row>
    <row r="125" spans="1:26" ht="25.5" x14ac:dyDescent="0.2">
      <c r="B125" s="95" t="s">
        <v>126</v>
      </c>
      <c r="C125" s="34" t="s">
        <v>61</v>
      </c>
      <c r="D125" s="10" t="s">
        <v>83</v>
      </c>
      <c r="E125" s="10" t="s">
        <v>83</v>
      </c>
      <c r="F125" s="10" t="s">
        <v>83</v>
      </c>
      <c r="G125" s="10" t="s">
        <v>119</v>
      </c>
      <c r="H125" s="11" t="s">
        <v>83</v>
      </c>
      <c r="I125" s="102" t="s">
        <v>106</v>
      </c>
      <c r="J125" s="40">
        <f t="shared" si="47"/>
        <v>300000</v>
      </c>
      <c r="K125" s="97">
        <f t="shared" si="47"/>
        <v>0</v>
      </c>
      <c r="L125" s="137">
        <f t="shared" si="47"/>
        <v>0</v>
      </c>
      <c r="M125" s="137">
        <f t="shared" si="47"/>
        <v>0</v>
      </c>
      <c r="N125" s="137">
        <f t="shared" si="47"/>
        <v>0</v>
      </c>
      <c r="O125" s="137">
        <f t="shared" si="47"/>
        <v>20360578.550000001</v>
      </c>
      <c r="P125" s="137">
        <f t="shared" si="47"/>
        <v>0</v>
      </c>
      <c r="Q125" s="137">
        <f t="shared" si="47"/>
        <v>0</v>
      </c>
      <c r="R125" s="137">
        <f t="shared" si="47"/>
        <v>0</v>
      </c>
      <c r="S125" s="137">
        <f t="shared" si="47"/>
        <v>20360578.550000001</v>
      </c>
      <c r="T125" s="137">
        <f t="shared" si="47"/>
        <v>9769773.4199999999</v>
      </c>
      <c r="U125" s="137">
        <f t="shared" si="47"/>
        <v>0</v>
      </c>
      <c r="V125" s="137">
        <f t="shared" si="47"/>
        <v>0</v>
      </c>
      <c r="W125" s="137">
        <f t="shared" si="47"/>
        <v>20360578.550000001</v>
      </c>
      <c r="X125" s="137">
        <f t="shared" si="47"/>
        <v>9769773.4199999999</v>
      </c>
      <c r="Y125" s="137">
        <f>Y126</f>
        <v>0</v>
      </c>
      <c r="Z125" s="137">
        <f>Z126</f>
        <v>9769773.4199999999</v>
      </c>
    </row>
    <row r="126" spans="1:26" ht="18.75" customHeight="1" x14ac:dyDescent="0.2">
      <c r="B126" s="147" t="s">
        <v>108</v>
      </c>
      <c r="C126" s="34" t="s">
        <v>61</v>
      </c>
      <c r="D126" s="14" t="s">
        <v>83</v>
      </c>
      <c r="E126" s="10" t="s">
        <v>83</v>
      </c>
      <c r="F126" s="10" t="s">
        <v>83</v>
      </c>
      <c r="G126" s="10" t="s">
        <v>119</v>
      </c>
      <c r="H126" s="11" t="s">
        <v>83</v>
      </c>
      <c r="I126" s="102" t="s">
        <v>107</v>
      </c>
      <c r="J126" s="40">
        <v>300000</v>
      </c>
      <c r="K126" s="97">
        <v>0</v>
      </c>
      <c r="L126" s="137">
        <v>0</v>
      </c>
      <c r="M126" s="137">
        <v>0</v>
      </c>
      <c r="N126" s="137">
        <v>0</v>
      </c>
      <c r="O126" s="137">
        <f>1300000+2100000+16960578.55</f>
        <v>20360578.550000001</v>
      </c>
      <c r="P126" s="137">
        <v>0</v>
      </c>
      <c r="Q126" s="137">
        <v>0</v>
      </c>
      <c r="R126" s="137">
        <v>0</v>
      </c>
      <c r="S126" s="137">
        <f>1300000+2100000+16960578.55</f>
        <v>20360578.550000001</v>
      </c>
      <c r="T126" s="137">
        <v>9769773.4199999999</v>
      </c>
      <c r="U126" s="137">
        <v>0</v>
      </c>
      <c r="V126" s="137">
        <v>0</v>
      </c>
      <c r="W126" s="137">
        <f>1300000+2100000+16960578.55</f>
        <v>20360578.550000001</v>
      </c>
      <c r="X126" s="138">
        <v>9769773.4199999999</v>
      </c>
      <c r="Y126" s="137">
        <v>0</v>
      </c>
      <c r="Z126" s="137">
        <v>9769773.4199999999</v>
      </c>
    </row>
    <row r="127" spans="1:26" ht="45.75" customHeight="1" x14ac:dyDescent="0.2">
      <c r="B127" s="95" t="s">
        <v>147</v>
      </c>
      <c r="C127" s="4" t="s">
        <v>61</v>
      </c>
      <c r="D127" s="5" t="s">
        <v>83</v>
      </c>
      <c r="E127" s="10" t="s">
        <v>83</v>
      </c>
      <c r="F127" s="10" t="s">
        <v>83</v>
      </c>
      <c r="G127" s="5" t="s">
        <v>148</v>
      </c>
      <c r="H127" s="11" t="s">
        <v>83</v>
      </c>
      <c r="I127" s="135"/>
      <c r="J127" s="40">
        <f t="shared" ref="J127:Y128" si="48">J128</f>
        <v>0</v>
      </c>
      <c r="K127" s="97">
        <f t="shared" si="48"/>
        <v>0</v>
      </c>
      <c r="L127" s="98">
        <f t="shared" si="48"/>
        <v>0</v>
      </c>
      <c r="M127" s="98">
        <f t="shared" si="48"/>
        <v>0</v>
      </c>
      <c r="N127" s="98">
        <f t="shared" si="48"/>
        <v>0</v>
      </c>
      <c r="O127" s="98">
        <f t="shared" si="48"/>
        <v>0</v>
      </c>
      <c r="P127" s="98">
        <f t="shared" si="48"/>
        <v>0</v>
      </c>
      <c r="Q127" s="98">
        <f t="shared" si="48"/>
        <v>0</v>
      </c>
      <c r="R127" s="98">
        <f t="shared" si="48"/>
        <v>0</v>
      </c>
      <c r="S127" s="98">
        <f t="shared" si="48"/>
        <v>0</v>
      </c>
      <c r="T127" s="98">
        <f t="shared" si="48"/>
        <v>930521</v>
      </c>
      <c r="U127" s="98">
        <f t="shared" si="48"/>
        <v>0</v>
      </c>
      <c r="V127" s="98">
        <f t="shared" si="48"/>
        <v>0</v>
      </c>
      <c r="W127" s="98">
        <f t="shared" si="48"/>
        <v>0</v>
      </c>
      <c r="X127" s="99">
        <f t="shared" si="48"/>
        <v>930521</v>
      </c>
      <c r="Y127" s="98">
        <f t="shared" si="48"/>
        <v>0</v>
      </c>
      <c r="Z127" s="98">
        <f>Z128</f>
        <v>930521</v>
      </c>
    </row>
    <row r="128" spans="1:26" ht="39.75" customHeight="1" x14ac:dyDescent="0.2">
      <c r="B128" s="147" t="s">
        <v>75</v>
      </c>
      <c r="C128" s="4" t="s">
        <v>61</v>
      </c>
      <c r="D128" s="5" t="s">
        <v>83</v>
      </c>
      <c r="E128" s="10" t="s">
        <v>83</v>
      </c>
      <c r="F128" s="10" t="s">
        <v>83</v>
      </c>
      <c r="G128" s="5" t="s">
        <v>148</v>
      </c>
      <c r="H128" s="11" t="s">
        <v>83</v>
      </c>
      <c r="I128" s="135" t="s">
        <v>43</v>
      </c>
      <c r="J128" s="40">
        <f t="shared" si="48"/>
        <v>0</v>
      </c>
      <c r="K128" s="97">
        <f t="shared" si="48"/>
        <v>0</v>
      </c>
      <c r="L128" s="98">
        <f t="shared" si="48"/>
        <v>0</v>
      </c>
      <c r="M128" s="98">
        <f t="shared" si="48"/>
        <v>0</v>
      </c>
      <c r="N128" s="98">
        <f t="shared" si="48"/>
        <v>0</v>
      </c>
      <c r="O128" s="98">
        <f t="shared" si="48"/>
        <v>0</v>
      </c>
      <c r="P128" s="98">
        <f t="shared" si="48"/>
        <v>0</v>
      </c>
      <c r="Q128" s="98">
        <f t="shared" si="48"/>
        <v>0</v>
      </c>
      <c r="R128" s="98">
        <f t="shared" si="48"/>
        <v>0</v>
      </c>
      <c r="S128" s="98">
        <f t="shared" si="48"/>
        <v>0</v>
      </c>
      <c r="T128" s="98">
        <f t="shared" si="48"/>
        <v>930521</v>
      </c>
      <c r="U128" s="98">
        <f t="shared" si="48"/>
        <v>0</v>
      </c>
      <c r="V128" s="98">
        <f t="shared" si="48"/>
        <v>0</v>
      </c>
      <c r="W128" s="98">
        <f t="shared" si="48"/>
        <v>0</v>
      </c>
      <c r="X128" s="99">
        <f t="shared" si="48"/>
        <v>930521</v>
      </c>
      <c r="Y128" s="98">
        <f>Y129</f>
        <v>0</v>
      </c>
      <c r="Z128" s="98">
        <f>Z129</f>
        <v>930521</v>
      </c>
    </row>
    <row r="129" spans="1:26" ht="36" customHeight="1" x14ac:dyDescent="0.2">
      <c r="B129" s="147" t="s">
        <v>44</v>
      </c>
      <c r="C129" s="4" t="s">
        <v>61</v>
      </c>
      <c r="D129" s="5" t="s">
        <v>83</v>
      </c>
      <c r="E129" s="10" t="s">
        <v>83</v>
      </c>
      <c r="F129" s="10" t="s">
        <v>83</v>
      </c>
      <c r="G129" s="5" t="s">
        <v>148</v>
      </c>
      <c r="H129" s="11" t="s">
        <v>83</v>
      </c>
      <c r="I129" s="135" t="s">
        <v>45</v>
      </c>
      <c r="J129" s="40">
        <v>0</v>
      </c>
      <c r="K129" s="97">
        <v>0</v>
      </c>
      <c r="L129" s="137">
        <v>0</v>
      </c>
      <c r="M129" s="137">
        <v>0</v>
      </c>
      <c r="N129" s="137">
        <v>0</v>
      </c>
      <c r="O129" s="276">
        <v>0</v>
      </c>
      <c r="P129" s="276">
        <v>0</v>
      </c>
      <c r="Q129" s="137">
        <v>0</v>
      </c>
      <c r="R129" s="137">
        <v>0</v>
      </c>
      <c r="S129" s="276">
        <v>0</v>
      </c>
      <c r="T129" s="301">
        <v>930521</v>
      </c>
      <c r="U129" s="301">
        <v>0</v>
      </c>
      <c r="V129" s="276">
        <v>0</v>
      </c>
      <c r="W129" s="276">
        <v>0</v>
      </c>
      <c r="X129" s="138">
        <v>930521</v>
      </c>
      <c r="Y129" s="137">
        <v>0</v>
      </c>
      <c r="Z129" s="137">
        <v>930521</v>
      </c>
    </row>
    <row r="130" spans="1:26" ht="36" customHeight="1" x14ac:dyDescent="0.2">
      <c r="B130" s="166" t="s">
        <v>244</v>
      </c>
      <c r="C130" s="34" t="s">
        <v>61</v>
      </c>
      <c r="D130" s="5" t="s">
        <v>83</v>
      </c>
      <c r="E130" s="10" t="s">
        <v>83</v>
      </c>
      <c r="F130" s="10" t="s">
        <v>83</v>
      </c>
      <c r="G130" s="10" t="s">
        <v>274</v>
      </c>
      <c r="H130" s="11" t="s">
        <v>83</v>
      </c>
      <c r="I130" s="102"/>
      <c r="J130" s="32"/>
      <c r="K130" s="33"/>
      <c r="L130" s="137">
        <f t="shared" ref="L130:Z131" si="49">L131</f>
        <v>0</v>
      </c>
      <c r="M130" s="137">
        <f t="shared" si="49"/>
        <v>0</v>
      </c>
      <c r="N130" s="137">
        <f t="shared" si="49"/>
        <v>0</v>
      </c>
      <c r="O130" s="284">
        <f t="shared" si="49"/>
        <v>2100000</v>
      </c>
      <c r="P130" s="137">
        <f t="shared" si="49"/>
        <v>0</v>
      </c>
      <c r="Q130" s="137">
        <f t="shared" si="49"/>
        <v>3950000</v>
      </c>
      <c r="R130" s="137">
        <f t="shared" si="49"/>
        <v>3950000</v>
      </c>
      <c r="S130" s="138">
        <f t="shared" si="49"/>
        <v>0</v>
      </c>
      <c r="T130" s="302">
        <f t="shared" si="49"/>
        <v>0</v>
      </c>
      <c r="U130" s="32">
        <f t="shared" si="49"/>
        <v>0</v>
      </c>
      <c r="V130" s="137">
        <f t="shared" si="49"/>
        <v>0</v>
      </c>
      <c r="W130" s="137">
        <f t="shared" si="49"/>
        <v>0</v>
      </c>
      <c r="X130" s="138">
        <f t="shared" si="49"/>
        <v>0</v>
      </c>
      <c r="Y130" s="137">
        <f t="shared" si="49"/>
        <v>0</v>
      </c>
      <c r="Z130" s="137">
        <f t="shared" si="49"/>
        <v>0</v>
      </c>
    </row>
    <row r="131" spans="1:26" ht="36" customHeight="1" x14ac:dyDescent="0.2">
      <c r="B131" s="95" t="s">
        <v>126</v>
      </c>
      <c r="C131" s="34" t="s">
        <v>61</v>
      </c>
      <c r="D131" s="10" t="s">
        <v>83</v>
      </c>
      <c r="E131" s="10" t="s">
        <v>83</v>
      </c>
      <c r="F131" s="10" t="s">
        <v>83</v>
      </c>
      <c r="G131" s="10" t="s">
        <v>274</v>
      </c>
      <c r="H131" s="11" t="s">
        <v>83</v>
      </c>
      <c r="I131" s="102" t="s">
        <v>106</v>
      </c>
      <c r="J131" s="32"/>
      <c r="K131" s="33"/>
      <c r="L131" s="137">
        <f t="shared" si="49"/>
        <v>0</v>
      </c>
      <c r="M131" s="137">
        <f t="shared" si="49"/>
        <v>0</v>
      </c>
      <c r="N131" s="137">
        <f t="shared" si="49"/>
        <v>0</v>
      </c>
      <c r="O131" s="284">
        <f t="shared" si="49"/>
        <v>2100000</v>
      </c>
      <c r="P131" s="137">
        <f t="shared" si="49"/>
        <v>0</v>
      </c>
      <c r="Q131" s="137">
        <f t="shared" si="49"/>
        <v>3950000</v>
      </c>
      <c r="R131" s="137">
        <f t="shared" si="49"/>
        <v>3950000</v>
      </c>
      <c r="S131" s="138">
        <f t="shared" si="49"/>
        <v>0</v>
      </c>
      <c r="T131" s="302">
        <f t="shared" si="49"/>
        <v>0</v>
      </c>
      <c r="U131" s="32">
        <f t="shared" si="49"/>
        <v>0</v>
      </c>
      <c r="V131" s="137">
        <f t="shared" si="49"/>
        <v>0</v>
      </c>
      <c r="W131" s="137">
        <f t="shared" si="49"/>
        <v>0</v>
      </c>
      <c r="X131" s="138">
        <f t="shared" si="49"/>
        <v>0</v>
      </c>
      <c r="Y131" s="138">
        <f t="shared" si="49"/>
        <v>0</v>
      </c>
      <c r="Z131" s="137">
        <f t="shared" si="49"/>
        <v>0</v>
      </c>
    </row>
    <row r="132" spans="1:26" ht="36" customHeight="1" x14ac:dyDescent="0.2">
      <c r="B132" s="147" t="s">
        <v>108</v>
      </c>
      <c r="C132" s="34" t="s">
        <v>61</v>
      </c>
      <c r="D132" s="14" t="s">
        <v>83</v>
      </c>
      <c r="E132" s="10" t="s">
        <v>83</v>
      </c>
      <c r="F132" s="10" t="s">
        <v>83</v>
      </c>
      <c r="G132" s="10" t="s">
        <v>274</v>
      </c>
      <c r="H132" s="11" t="s">
        <v>83</v>
      </c>
      <c r="I132" s="102" t="s">
        <v>107</v>
      </c>
      <c r="J132" s="32"/>
      <c r="K132" s="33"/>
      <c r="L132" s="137">
        <v>0</v>
      </c>
      <c r="M132" s="137">
        <v>0</v>
      </c>
      <c r="N132" s="137">
        <v>0</v>
      </c>
      <c r="O132" s="284">
        <v>2100000</v>
      </c>
      <c r="P132" s="137">
        <v>0</v>
      </c>
      <c r="Q132" s="137">
        <v>3950000</v>
      </c>
      <c r="R132" s="137">
        <f>Q132</f>
        <v>3950000</v>
      </c>
      <c r="S132" s="138">
        <v>0</v>
      </c>
      <c r="T132" s="302">
        <v>0</v>
      </c>
      <c r="U132" s="32">
        <v>0</v>
      </c>
      <c r="V132" s="137">
        <v>0</v>
      </c>
      <c r="W132" s="138">
        <v>0</v>
      </c>
      <c r="X132" s="138">
        <v>0</v>
      </c>
      <c r="Y132" s="138">
        <v>0</v>
      </c>
      <c r="Z132" s="138">
        <v>0</v>
      </c>
    </row>
    <row r="133" spans="1:26" s="94" customFormat="1" ht="63" x14ac:dyDescent="0.25">
      <c r="A133" s="167"/>
      <c r="B133" s="280" t="s">
        <v>229</v>
      </c>
      <c r="C133" s="140" t="s">
        <v>63</v>
      </c>
      <c r="D133" s="141" t="s">
        <v>83</v>
      </c>
      <c r="E133" s="142" t="s">
        <v>83</v>
      </c>
      <c r="F133" s="142" t="s">
        <v>83</v>
      </c>
      <c r="G133" s="141" t="s">
        <v>84</v>
      </c>
      <c r="H133" s="130" t="s">
        <v>83</v>
      </c>
      <c r="I133" s="168"/>
      <c r="J133" s="143" t="e">
        <f>#REF!+J134+#REF!</f>
        <v>#REF!</v>
      </c>
      <c r="K133" s="144" t="e">
        <f>#REF!+K134+#REF!</f>
        <v>#REF!</v>
      </c>
      <c r="L133" s="145">
        <f>L134+L137</f>
        <v>0</v>
      </c>
      <c r="M133" s="145">
        <f>M134+M137</f>
        <v>0</v>
      </c>
      <c r="N133" s="145">
        <f>N134+N137+N140</f>
        <v>0</v>
      </c>
      <c r="O133" s="145">
        <f t="shared" ref="O133:Z133" si="50">O134+O137+O140</f>
        <v>5075010.8599999994</v>
      </c>
      <c r="P133" s="145">
        <f t="shared" si="50"/>
        <v>0</v>
      </c>
      <c r="Q133" s="145">
        <f t="shared" si="50"/>
        <v>0</v>
      </c>
      <c r="R133" s="145">
        <f t="shared" si="50"/>
        <v>0</v>
      </c>
      <c r="S133" s="145">
        <f t="shared" si="50"/>
        <v>2764192.86</v>
      </c>
      <c r="T133" s="145">
        <f t="shared" si="50"/>
        <v>708123.56</v>
      </c>
      <c r="U133" s="145">
        <f t="shared" si="50"/>
        <v>0</v>
      </c>
      <c r="V133" s="145">
        <f t="shared" si="50"/>
        <v>28271020.41</v>
      </c>
      <c r="W133" s="145">
        <f t="shared" si="50"/>
        <v>31035213.27</v>
      </c>
      <c r="X133" s="145">
        <f t="shared" si="50"/>
        <v>457305.56</v>
      </c>
      <c r="Y133" s="145">
        <f t="shared" si="50"/>
        <v>28271046.510000002</v>
      </c>
      <c r="Z133" s="145">
        <f t="shared" si="50"/>
        <v>28728352.07</v>
      </c>
    </row>
    <row r="134" spans="1:26" s="94" customFormat="1" x14ac:dyDescent="0.2">
      <c r="A134" s="167"/>
      <c r="B134" s="95" t="s">
        <v>124</v>
      </c>
      <c r="C134" s="34" t="s">
        <v>63</v>
      </c>
      <c r="D134" s="10" t="s">
        <v>83</v>
      </c>
      <c r="E134" s="10" t="s">
        <v>83</v>
      </c>
      <c r="F134" s="10" t="s">
        <v>83</v>
      </c>
      <c r="G134" s="48">
        <v>8040</v>
      </c>
      <c r="H134" s="11" t="s">
        <v>83</v>
      </c>
      <c r="I134" s="102"/>
      <c r="J134" s="40">
        <f t="shared" ref="J134:Y135" si="51">J135</f>
        <v>100000</v>
      </c>
      <c r="K134" s="97">
        <f t="shared" si="51"/>
        <v>0</v>
      </c>
      <c r="L134" s="98">
        <f t="shared" si="51"/>
        <v>0</v>
      </c>
      <c r="M134" s="98">
        <f t="shared" si="51"/>
        <v>0</v>
      </c>
      <c r="N134" s="98">
        <f t="shared" si="51"/>
        <v>0</v>
      </c>
      <c r="O134" s="98">
        <f t="shared" si="51"/>
        <v>453374.86</v>
      </c>
      <c r="P134" s="98">
        <f t="shared" si="51"/>
        <v>0</v>
      </c>
      <c r="Q134" s="98">
        <f t="shared" si="51"/>
        <v>0</v>
      </c>
      <c r="R134" s="98">
        <f t="shared" si="51"/>
        <v>0</v>
      </c>
      <c r="S134" s="98">
        <f t="shared" si="51"/>
        <v>453374.86</v>
      </c>
      <c r="T134" s="98">
        <f t="shared" si="51"/>
        <v>206487.56</v>
      </c>
      <c r="U134" s="98">
        <f t="shared" si="51"/>
        <v>0</v>
      </c>
      <c r="V134" s="98">
        <f t="shared" si="51"/>
        <v>0</v>
      </c>
      <c r="W134" s="98">
        <f t="shared" si="51"/>
        <v>453374.86</v>
      </c>
      <c r="X134" s="98">
        <f t="shared" si="51"/>
        <v>206487.56</v>
      </c>
      <c r="Y134" s="98">
        <f t="shared" si="51"/>
        <v>0</v>
      </c>
      <c r="Z134" s="98">
        <f>Z135</f>
        <v>206487.56</v>
      </c>
    </row>
    <row r="135" spans="1:26" s="94" customFormat="1" ht="25.5" x14ac:dyDescent="0.2">
      <c r="A135" s="167"/>
      <c r="B135" s="100" t="s">
        <v>42</v>
      </c>
      <c r="C135" s="36" t="s">
        <v>63</v>
      </c>
      <c r="D135" s="14" t="s">
        <v>83</v>
      </c>
      <c r="E135" s="10" t="s">
        <v>83</v>
      </c>
      <c r="F135" s="10" t="s">
        <v>83</v>
      </c>
      <c r="G135" s="48">
        <v>8040</v>
      </c>
      <c r="H135" s="11" t="s">
        <v>83</v>
      </c>
      <c r="I135" s="96" t="s">
        <v>43</v>
      </c>
      <c r="J135" s="40">
        <f t="shared" si="51"/>
        <v>100000</v>
      </c>
      <c r="K135" s="97">
        <f t="shared" si="51"/>
        <v>0</v>
      </c>
      <c r="L135" s="104">
        <f>L136</f>
        <v>0</v>
      </c>
      <c r="M135" s="104">
        <f>M136</f>
        <v>0</v>
      </c>
      <c r="N135" s="104">
        <f>N136</f>
        <v>0</v>
      </c>
      <c r="O135" s="104">
        <f t="shared" si="51"/>
        <v>453374.86</v>
      </c>
      <c r="P135" s="104">
        <f t="shared" si="51"/>
        <v>0</v>
      </c>
      <c r="Q135" s="104">
        <f>Q136</f>
        <v>0</v>
      </c>
      <c r="R135" s="104">
        <f>R136</f>
        <v>0</v>
      </c>
      <c r="S135" s="104">
        <f t="shared" si="51"/>
        <v>453374.86</v>
      </c>
      <c r="T135" s="104">
        <f t="shared" si="51"/>
        <v>206487.56</v>
      </c>
      <c r="U135" s="104">
        <f t="shared" si="51"/>
        <v>0</v>
      </c>
      <c r="V135" s="104">
        <f t="shared" si="51"/>
        <v>0</v>
      </c>
      <c r="W135" s="104">
        <f t="shared" si="51"/>
        <v>453374.86</v>
      </c>
      <c r="X135" s="104">
        <f t="shared" si="51"/>
        <v>206487.56</v>
      </c>
      <c r="Y135" s="104">
        <f>Y136</f>
        <v>0</v>
      </c>
      <c r="Z135" s="104">
        <f>Z136</f>
        <v>206487.56</v>
      </c>
    </row>
    <row r="136" spans="1:26" s="94" customFormat="1" ht="25.5" x14ac:dyDescent="0.2">
      <c r="A136" s="167"/>
      <c r="B136" s="100" t="s">
        <v>44</v>
      </c>
      <c r="C136" s="36" t="s">
        <v>63</v>
      </c>
      <c r="D136" s="14" t="s">
        <v>83</v>
      </c>
      <c r="E136" s="10" t="s">
        <v>83</v>
      </c>
      <c r="F136" s="10" t="s">
        <v>83</v>
      </c>
      <c r="G136" s="48">
        <v>8040</v>
      </c>
      <c r="H136" s="11" t="s">
        <v>83</v>
      </c>
      <c r="I136" s="96" t="s">
        <v>45</v>
      </c>
      <c r="J136" s="40">
        <v>100000</v>
      </c>
      <c r="K136" s="97">
        <v>0</v>
      </c>
      <c r="L136" s="104">
        <v>0</v>
      </c>
      <c r="M136" s="104">
        <v>0</v>
      </c>
      <c r="N136" s="104">
        <v>0</v>
      </c>
      <c r="O136" s="104">
        <v>453374.86</v>
      </c>
      <c r="P136" s="104">
        <v>0</v>
      </c>
      <c r="Q136" s="104">
        <v>0</v>
      </c>
      <c r="R136" s="104">
        <v>0</v>
      </c>
      <c r="S136" s="104">
        <v>453374.86</v>
      </c>
      <c r="T136" s="104">
        <v>206487.56</v>
      </c>
      <c r="U136" s="104">
        <v>0</v>
      </c>
      <c r="V136" s="104">
        <v>0</v>
      </c>
      <c r="W136" s="104">
        <v>453374.86</v>
      </c>
      <c r="X136" s="104">
        <v>206487.56</v>
      </c>
      <c r="Y136" s="104">
        <v>0</v>
      </c>
      <c r="Z136" s="104">
        <v>206487.56</v>
      </c>
    </row>
    <row r="137" spans="1:26" s="94" customFormat="1" x14ac:dyDescent="0.2">
      <c r="A137" s="167"/>
      <c r="B137" s="95" t="s">
        <v>116</v>
      </c>
      <c r="C137" s="34" t="s">
        <v>63</v>
      </c>
      <c r="D137" s="10" t="s">
        <v>83</v>
      </c>
      <c r="E137" s="10" t="s">
        <v>83</v>
      </c>
      <c r="F137" s="10" t="s">
        <v>83</v>
      </c>
      <c r="G137" s="48">
        <v>8018</v>
      </c>
      <c r="H137" s="11" t="s">
        <v>83</v>
      </c>
      <c r="I137" s="102"/>
      <c r="J137" s="12"/>
      <c r="K137" s="13"/>
      <c r="L137" s="104">
        <f t="shared" ref="L137:Z138" si="52">L138</f>
        <v>0</v>
      </c>
      <c r="M137" s="104">
        <f t="shared" si="52"/>
        <v>0</v>
      </c>
      <c r="N137" s="104">
        <f t="shared" si="52"/>
        <v>0</v>
      </c>
      <c r="O137" s="104">
        <f t="shared" si="52"/>
        <v>2310818</v>
      </c>
      <c r="P137" s="104">
        <f t="shared" si="52"/>
        <v>0</v>
      </c>
      <c r="Q137" s="104">
        <f t="shared" si="52"/>
        <v>0</v>
      </c>
      <c r="R137" s="104">
        <f t="shared" si="52"/>
        <v>0</v>
      </c>
      <c r="S137" s="104">
        <f t="shared" si="52"/>
        <v>2310818</v>
      </c>
      <c r="T137" s="104">
        <f t="shared" si="52"/>
        <v>250818</v>
      </c>
      <c r="U137" s="104">
        <f t="shared" si="52"/>
        <v>0</v>
      </c>
      <c r="V137" s="104">
        <f t="shared" si="52"/>
        <v>0</v>
      </c>
      <c r="W137" s="104">
        <f t="shared" si="52"/>
        <v>2310818</v>
      </c>
      <c r="X137" s="104">
        <f t="shared" si="52"/>
        <v>250818</v>
      </c>
      <c r="Y137" s="104">
        <f t="shared" si="52"/>
        <v>0</v>
      </c>
      <c r="Z137" s="104">
        <f t="shared" si="52"/>
        <v>250818</v>
      </c>
    </row>
    <row r="138" spans="1:26" s="94" customFormat="1" ht="25.5" x14ac:dyDescent="0.2">
      <c r="A138" s="167"/>
      <c r="B138" s="100" t="s">
        <v>42</v>
      </c>
      <c r="C138" s="36" t="s">
        <v>63</v>
      </c>
      <c r="D138" s="14" t="s">
        <v>83</v>
      </c>
      <c r="E138" s="10" t="s">
        <v>83</v>
      </c>
      <c r="F138" s="10" t="s">
        <v>83</v>
      </c>
      <c r="G138" s="48">
        <v>8018</v>
      </c>
      <c r="H138" s="11" t="s">
        <v>83</v>
      </c>
      <c r="I138" s="96" t="s">
        <v>43</v>
      </c>
      <c r="J138" s="12"/>
      <c r="K138" s="13"/>
      <c r="L138" s="104">
        <f t="shared" si="52"/>
        <v>0</v>
      </c>
      <c r="M138" s="104">
        <f t="shared" si="52"/>
        <v>0</v>
      </c>
      <c r="N138" s="104">
        <f t="shared" si="52"/>
        <v>0</v>
      </c>
      <c r="O138" s="104">
        <f t="shared" si="52"/>
        <v>2310818</v>
      </c>
      <c r="P138" s="104">
        <f t="shared" si="52"/>
        <v>0</v>
      </c>
      <c r="Q138" s="104">
        <f t="shared" si="52"/>
        <v>0</v>
      </c>
      <c r="R138" s="104">
        <f t="shared" si="52"/>
        <v>0</v>
      </c>
      <c r="S138" s="104">
        <f t="shared" si="52"/>
        <v>2310818</v>
      </c>
      <c r="T138" s="104">
        <f t="shared" si="52"/>
        <v>250818</v>
      </c>
      <c r="U138" s="104">
        <f t="shared" si="52"/>
        <v>0</v>
      </c>
      <c r="V138" s="104">
        <f t="shared" si="52"/>
        <v>0</v>
      </c>
      <c r="W138" s="104">
        <f t="shared" si="52"/>
        <v>2310818</v>
      </c>
      <c r="X138" s="104">
        <f t="shared" si="52"/>
        <v>250818</v>
      </c>
      <c r="Y138" s="104">
        <f t="shared" si="52"/>
        <v>0</v>
      </c>
      <c r="Z138" s="104">
        <f t="shared" si="52"/>
        <v>250818</v>
      </c>
    </row>
    <row r="139" spans="1:26" s="94" customFormat="1" ht="25.5" x14ac:dyDescent="0.2">
      <c r="A139" s="167"/>
      <c r="B139" s="100" t="s">
        <v>44</v>
      </c>
      <c r="C139" s="36" t="s">
        <v>63</v>
      </c>
      <c r="D139" s="14" t="s">
        <v>83</v>
      </c>
      <c r="E139" s="10" t="s">
        <v>83</v>
      </c>
      <c r="F139" s="10" t="s">
        <v>83</v>
      </c>
      <c r="G139" s="48">
        <v>8018</v>
      </c>
      <c r="H139" s="11" t="s">
        <v>83</v>
      </c>
      <c r="I139" s="96" t="s">
        <v>45</v>
      </c>
      <c r="J139" s="12"/>
      <c r="K139" s="13"/>
      <c r="L139" s="104">
        <v>0</v>
      </c>
      <c r="M139" s="104">
        <v>0</v>
      </c>
      <c r="N139" s="104">
        <v>0</v>
      </c>
      <c r="O139" s="104">
        <f>550000+1350000+410818</f>
        <v>2310818</v>
      </c>
      <c r="P139" s="104">
        <v>0</v>
      </c>
      <c r="Q139" s="104">
        <v>0</v>
      </c>
      <c r="R139" s="104">
        <v>0</v>
      </c>
      <c r="S139" s="104">
        <f>550000+1350000+410818</f>
        <v>2310818</v>
      </c>
      <c r="T139" s="104">
        <v>250818</v>
      </c>
      <c r="U139" s="104">
        <v>0</v>
      </c>
      <c r="V139" s="104">
        <v>0</v>
      </c>
      <c r="W139" s="104">
        <f>550000+1350000+410818</f>
        <v>2310818</v>
      </c>
      <c r="X139" s="104">
        <v>250818</v>
      </c>
      <c r="Y139" s="104">
        <v>0</v>
      </c>
      <c r="Z139" s="104">
        <v>250818</v>
      </c>
    </row>
    <row r="140" spans="1:26" s="94" customFormat="1" ht="45" customHeight="1" x14ac:dyDescent="0.2">
      <c r="A140" s="167"/>
      <c r="B140" s="100" t="s">
        <v>291</v>
      </c>
      <c r="C140" s="34" t="s">
        <v>63</v>
      </c>
      <c r="D140" s="10" t="s">
        <v>83</v>
      </c>
      <c r="E140" s="10" t="s">
        <v>83</v>
      </c>
      <c r="F140" s="10" t="s">
        <v>83</v>
      </c>
      <c r="G140" s="10" t="s">
        <v>142</v>
      </c>
      <c r="H140" s="11" t="s">
        <v>280</v>
      </c>
      <c r="I140" s="198"/>
      <c r="J140" s="12"/>
      <c r="K140" s="13"/>
      <c r="L140" s="104">
        <f t="shared" ref="L140:Z141" si="53">L141</f>
        <v>0</v>
      </c>
      <c r="M140" s="104">
        <f t="shared" si="53"/>
        <v>0</v>
      </c>
      <c r="N140" s="104">
        <f t="shared" si="53"/>
        <v>0</v>
      </c>
      <c r="O140" s="103">
        <f t="shared" si="53"/>
        <v>2310818</v>
      </c>
      <c r="P140" s="104">
        <f t="shared" si="53"/>
        <v>0</v>
      </c>
      <c r="Q140" s="104">
        <f t="shared" si="53"/>
        <v>0</v>
      </c>
      <c r="R140" s="104">
        <f t="shared" si="53"/>
        <v>0</v>
      </c>
      <c r="S140" s="105">
        <f t="shared" si="53"/>
        <v>0</v>
      </c>
      <c r="T140" s="104">
        <f t="shared" si="53"/>
        <v>250818</v>
      </c>
      <c r="U140" s="103">
        <f t="shared" si="53"/>
        <v>0</v>
      </c>
      <c r="V140" s="104">
        <f t="shared" si="53"/>
        <v>28271020.41</v>
      </c>
      <c r="W140" s="105">
        <f t="shared" si="53"/>
        <v>28271020.41</v>
      </c>
      <c r="X140" s="104">
        <f t="shared" si="53"/>
        <v>0</v>
      </c>
      <c r="Y140" s="104">
        <f t="shared" si="53"/>
        <v>28271046.510000002</v>
      </c>
      <c r="Z140" s="104">
        <f t="shared" si="53"/>
        <v>28271046.510000002</v>
      </c>
    </row>
    <row r="141" spans="1:26" s="94" customFormat="1" ht="25.5" x14ac:dyDescent="0.2">
      <c r="A141" s="167"/>
      <c r="B141" s="100" t="s">
        <v>42</v>
      </c>
      <c r="C141" s="36" t="s">
        <v>63</v>
      </c>
      <c r="D141" s="14" t="s">
        <v>83</v>
      </c>
      <c r="E141" s="10" t="s">
        <v>83</v>
      </c>
      <c r="F141" s="10" t="s">
        <v>83</v>
      </c>
      <c r="G141" s="10" t="s">
        <v>142</v>
      </c>
      <c r="H141" s="11" t="s">
        <v>280</v>
      </c>
      <c r="I141" s="260" t="s">
        <v>43</v>
      </c>
      <c r="J141" s="12"/>
      <c r="K141" s="13"/>
      <c r="L141" s="104">
        <f t="shared" si="53"/>
        <v>0</v>
      </c>
      <c r="M141" s="104">
        <f t="shared" si="53"/>
        <v>0</v>
      </c>
      <c r="N141" s="104">
        <f t="shared" si="53"/>
        <v>0</v>
      </c>
      <c r="O141" s="103">
        <f t="shared" si="53"/>
        <v>2310818</v>
      </c>
      <c r="P141" s="104">
        <f t="shared" si="53"/>
        <v>0</v>
      </c>
      <c r="Q141" s="104">
        <f t="shared" si="53"/>
        <v>0</v>
      </c>
      <c r="R141" s="104">
        <f t="shared" si="53"/>
        <v>0</v>
      </c>
      <c r="S141" s="105">
        <f t="shared" si="53"/>
        <v>0</v>
      </c>
      <c r="T141" s="104">
        <f t="shared" si="53"/>
        <v>250818</v>
      </c>
      <c r="U141" s="103">
        <f t="shared" si="53"/>
        <v>0</v>
      </c>
      <c r="V141" s="104">
        <f t="shared" si="53"/>
        <v>28271020.41</v>
      </c>
      <c r="W141" s="105">
        <f t="shared" si="53"/>
        <v>28271020.41</v>
      </c>
      <c r="X141" s="104">
        <f t="shared" si="53"/>
        <v>0</v>
      </c>
      <c r="Y141" s="104">
        <f t="shared" si="53"/>
        <v>28271046.510000002</v>
      </c>
      <c r="Z141" s="104">
        <f t="shared" si="53"/>
        <v>28271046.510000002</v>
      </c>
    </row>
    <row r="142" spans="1:26" s="94" customFormat="1" ht="25.5" x14ac:dyDescent="0.2">
      <c r="A142" s="167"/>
      <c r="B142" s="100" t="s">
        <v>44</v>
      </c>
      <c r="C142" s="36" t="s">
        <v>63</v>
      </c>
      <c r="D142" s="14" t="s">
        <v>83</v>
      </c>
      <c r="E142" s="10" t="s">
        <v>83</v>
      </c>
      <c r="F142" s="10" t="s">
        <v>83</v>
      </c>
      <c r="G142" s="10" t="s">
        <v>142</v>
      </c>
      <c r="H142" s="11" t="s">
        <v>280</v>
      </c>
      <c r="I142" s="260" t="s">
        <v>45</v>
      </c>
      <c r="J142" s="12"/>
      <c r="K142" s="13"/>
      <c r="L142" s="104">
        <v>0</v>
      </c>
      <c r="M142" s="104">
        <v>0</v>
      </c>
      <c r="N142" s="104">
        <v>0</v>
      </c>
      <c r="O142" s="103">
        <f>550000+1350000+410818</f>
        <v>2310818</v>
      </c>
      <c r="P142" s="104">
        <v>0</v>
      </c>
      <c r="Q142" s="104">
        <v>0</v>
      </c>
      <c r="R142" s="104">
        <v>0</v>
      </c>
      <c r="S142" s="105">
        <v>0</v>
      </c>
      <c r="T142" s="104">
        <v>250818</v>
      </c>
      <c r="U142" s="103">
        <v>0</v>
      </c>
      <c r="V142" s="104">
        <v>28271020.41</v>
      </c>
      <c r="W142" s="105">
        <f>V142</f>
        <v>28271020.41</v>
      </c>
      <c r="X142" s="104">
        <v>0</v>
      </c>
      <c r="Y142" s="104">
        <v>28271046.510000002</v>
      </c>
      <c r="Z142" s="104">
        <f>Y142</f>
        <v>28271046.510000002</v>
      </c>
    </row>
    <row r="143" spans="1:26" ht="9" customHeight="1" x14ac:dyDescent="0.2">
      <c r="B143" s="169"/>
      <c r="C143" s="37"/>
      <c r="D143" s="38"/>
      <c r="E143" s="26"/>
      <c r="F143" s="26"/>
      <c r="G143" s="170"/>
      <c r="H143" s="28"/>
      <c r="I143" s="171"/>
      <c r="J143" s="172"/>
      <c r="K143" s="173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8.75" x14ac:dyDescent="0.2">
      <c r="A144" s="76"/>
      <c r="B144" s="279" t="s">
        <v>255</v>
      </c>
      <c r="C144" s="140" t="s">
        <v>60</v>
      </c>
      <c r="D144" s="141" t="s">
        <v>83</v>
      </c>
      <c r="E144" s="142" t="s">
        <v>83</v>
      </c>
      <c r="F144" s="142" t="s">
        <v>83</v>
      </c>
      <c r="G144" s="141" t="s">
        <v>84</v>
      </c>
      <c r="H144" s="130" t="s">
        <v>83</v>
      </c>
      <c r="I144" s="72"/>
      <c r="J144" s="143" t="e">
        <f>J145</f>
        <v>#REF!</v>
      </c>
      <c r="K144" s="144" t="e">
        <f>K145</f>
        <v>#REF!</v>
      </c>
      <c r="L144" s="144">
        <f>L145</f>
        <v>0</v>
      </c>
      <c r="M144" s="144">
        <f>M145</f>
        <v>0</v>
      </c>
      <c r="N144" s="144">
        <f>N145+N150</f>
        <v>0</v>
      </c>
      <c r="O144" s="144">
        <f t="shared" ref="O144:Z144" si="54">O145+O150</f>
        <v>745450</v>
      </c>
      <c r="P144" s="144">
        <f t="shared" si="54"/>
        <v>0</v>
      </c>
      <c r="Q144" s="144">
        <f t="shared" si="54"/>
        <v>250000</v>
      </c>
      <c r="R144" s="144">
        <f t="shared" si="54"/>
        <v>250000</v>
      </c>
      <c r="S144" s="144">
        <f t="shared" si="54"/>
        <v>485450</v>
      </c>
      <c r="T144" s="144">
        <f t="shared" si="54"/>
        <v>745450</v>
      </c>
      <c r="U144" s="144">
        <f t="shared" si="54"/>
        <v>0</v>
      </c>
      <c r="V144" s="144">
        <f t="shared" si="54"/>
        <v>0</v>
      </c>
      <c r="W144" s="144">
        <f t="shared" si="54"/>
        <v>485450</v>
      </c>
      <c r="X144" s="144">
        <f t="shared" si="54"/>
        <v>485450</v>
      </c>
      <c r="Y144" s="144">
        <f t="shared" si="54"/>
        <v>0</v>
      </c>
      <c r="Z144" s="145">
        <f t="shared" si="54"/>
        <v>485450</v>
      </c>
    </row>
    <row r="145" spans="1:26" ht="18.75" x14ac:dyDescent="0.2">
      <c r="A145" s="76"/>
      <c r="B145" s="251" t="s">
        <v>11</v>
      </c>
      <c r="C145" s="10" t="s">
        <v>60</v>
      </c>
      <c r="D145" s="10" t="s">
        <v>83</v>
      </c>
      <c r="E145" s="10" t="s">
        <v>83</v>
      </c>
      <c r="F145" s="10" t="s">
        <v>83</v>
      </c>
      <c r="G145" s="10" t="s">
        <v>14</v>
      </c>
      <c r="H145" s="11" t="s">
        <v>83</v>
      </c>
      <c r="I145" s="102"/>
      <c r="J145" s="40" t="e">
        <f>J148+#REF!+J146+#REF!</f>
        <v>#REF!</v>
      </c>
      <c r="K145" s="97" t="e">
        <f>K148+#REF!+K146+#REF!</f>
        <v>#REF!</v>
      </c>
      <c r="L145" s="97">
        <f t="shared" ref="L145:Z145" si="55">L148+L146</f>
        <v>0</v>
      </c>
      <c r="M145" s="97">
        <f t="shared" si="55"/>
        <v>0</v>
      </c>
      <c r="N145" s="97">
        <f t="shared" si="55"/>
        <v>0</v>
      </c>
      <c r="O145" s="98">
        <f t="shared" si="55"/>
        <v>485450</v>
      </c>
      <c r="P145" s="98">
        <f t="shared" si="55"/>
        <v>0</v>
      </c>
      <c r="Q145" s="97">
        <f t="shared" si="55"/>
        <v>0</v>
      </c>
      <c r="R145" s="97">
        <f t="shared" si="55"/>
        <v>0</v>
      </c>
      <c r="S145" s="98">
        <f t="shared" si="55"/>
        <v>485450</v>
      </c>
      <c r="T145" s="98">
        <f t="shared" si="55"/>
        <v>485450</v>
      </c>
      <c r="U145" s="98">
        <f t="shared" si="55"/>
        <v>0</v>
      </c>
      <c r="V145" s="98">
        <f t="shared" si="55"/>
        <v>0</v>
      </c>
      <c r="W145" s="98">
        <f t="shared" si="55"/>
        <v>485450</v>
      </c>
      <c r="X145" s="98">
        <f t="shared" si="55"/>
        <v>485450</v>
      </c>
      <c r="Y145" s="98">
        <f t="shared" si="55"/>
        <v>0</v>
      </c>
      <c r="Z145" s="98">
        <f t="shared" si="55"/>
        <v>485450</v>
      </c>
    </row>
    <row r="146" spans="1:26" ht="51" x14ac:dyDescent="0.2">
      <c r="A146" s="76"/>
      <c r="B146" s="250" t="s">
        <v>57</v>
      </c>
      <c r="C146" s="10" t="s">
        <v>60</v>
      </c>
      <c r="D146" s="10" t="s">
        <v>83</v>
      </c>
      <c r="E146" s="10" t="s">
        <v>83</v>
      </c>
      <c r="F146" s="10" t="s">
        <v>83</v>
      </c>
      <c r="G146" s="10" t="s">
        <v>14</v>
      </c>
      <c r="H146" s="11" t="s">
        <v>83</v>
      </c>
      <c r="I146" s="102" t="s">
        <v>50</v>
      </c>
      <c r="J146" s="40">
        <f t="shared" ref="J146:Z146" si="56">J147</f>
        <v>160000</v>
      </c>
      <c r="K146" s="97">
        <f t="shared" si="56"/>
        <v>0</v>
      </c>
      <c r="L146" s="112">
        <f t="shared" si="56"/>
        <v>0</v>
      </c>
      <c r="M146" s="112">
        <f t="shared" si="56"/>
        <v>0</v>
      </c>
      <c r="N146" s="112">
        <f t="shared" si="56"/>
        <v>0</v>
      </c>
      <c r="O146" s="112">
        <f t="shared" si="56"/>
        <v>130000</v>
      </c>
      <c r="P146" s="112">
        <f t="shared" si="56"/>
        <v>0</v>
      </c>
      <c r="Q146" s="112">
        <f t="shared" si="56"/>
        <v>0</v>
      </c>
      <c r="R146" s="112">
        <f t="shared" si="56"/>
        <v>0</v>
      </c>
      <c r="S146" s="112">
        <f t="shared" si="56"/>
        <v>130000</v>
      </c>
      <c r="T146" s="112">
        <f t="shared" si="56"/>
        <v>130000</v>
      </c>
      <c r="U146" s="112">
        <f t="shared" si="56"/>
        <v>0</v>
      </c>
      <c r="V146" s="112">
        <f t="shared" si="56"/>
        <v>0</v>
      </c>
      <c r="W146" s="112">
        <f t="shared" si="56"/>
        <v>130000</v>
      </c>
      <c r="X146" s="112">
        <f t="shared" si="56"/>
        <v>130000</v>
      </c>
      <c r="Y146" s="112">
        <f t="shared" si="56"/>
        <v>0</v>
      </c>
      <c r="Z146" s="112">
        <f t="shared" si="56"/>
        <v>130000</v>
      </c>
    </row>
    <row r="147" spans="1:26" ht="25.5" x14ac:dyDescent="0.2">
      <c r="A147" s="76"/>
      <c r="B147" s="250" t="s">
        <v>51</v>
      </c>
      <c r="C147" s="10" t="s">
        <v>60</v>
      </c>
      <c r="D147" s="10" t="s">
        <v>83</v>
      </c>
      <c r="E147" s="10" t="s">
        <v>83</v>
      </c>
      <c r="F147" s="10" t="s">
        <v>83</v>
      </c>
      <c r="G147" s="10" t="s">
        <v>14</v>
      </c>
      <c r="H147" s="11" t="s">
        <v>83</v>
      </c>
      <c r="I147" s="102" t="s">
        <v>115</v>
      </c>
      <c r="J147" s="40">
        <v>160000</v>
      </c>
      <c r="K147" s="97">
        <v>0</v>
      </c>
      <c r="L147" s="112">
        <v>0</v>
      </c>
      <c r="M147" s="112">
        <v>0</v>
      </c>
      <c r="N147" s="112">
        <v>0</v>
      </c>
      <c r="O147" s="112">
        <v>130000</v>
      </c>
      <c r="P147" s="112">
        <v>0</v>
      </c>
      <c r="Q147" s="112">
        <v>0</v>
      </c>
      <c r="R147" s="112">
        <v>0</v>
      </c>
      <c r="S147" s="112">
        <v>130000</v>
      </c>
      <c r="T147" s="112">
        <v>130000</v>
      </c>
      <c r="U147" s="112">
        <v>0</v>
      </c>
      <c r="V147" s="112">
        <v>0</v>
      </c>
      <c r="W147" s="112">
        <v>130000</v>
      </c>
      <c r="X147" s="112">
        <v>130000</v>
      </c>
      <c r="Y147" s="112">
        <v>0</v>
      </c>
      <c r="Z147" s="112">
        <v>130000</v>
      </c>
    </row>
    <row r="148" spans="1:26" ht="25.5" x14ac:dyDescent="0.2">
      <c r="A148" s="76"/>
      <c r="B148" s="250" t="s">
        <v>42</v>
      </c>
      <c r="C148" s="10" t="s">
        <v>60</v>
      </c>
      <c r="D148" s="10" t="s">
        <v>83</v>
      </c>
      <c r="E148" s="10" t="s">
        <v>83</v>
      </c>
      <c r="F148" s="10" t="s">
        <v>83</v>
      </c>
      <c r="G148" s="10" t="s">
        <v>14</v>
      </c>
      <c r="H148" s="11" t="s">
        <v>83</v>
      </c>
      <c r="I148" s="102" t="s">
        <v>43</v>
      </c>
      <c r="J148" s="40">
        <f t="shared" ref="J148:Z148" si="57">J149</f>
        <v>308600</v>
      </c>
      <c r="K148" s="97">
        <f t="shared" si="57"/>
        <v>0</v>
      </c>
      <c r="L148" s="104">
        <f t="shared" si="57"/>
        <v>0</v>
      </c>
      <c r="M148" s="104">
        <f t="shared" si="57"/>
        <v>0</v>
      </c>
      <c r="N148" s="104">
        <f t="shared" si="57"/>
        <v>0</v>
      </c>
      <c r="O148" s="104">
        <f t="shared" si="57"/>
        <v>355450</v>
      </c>
      <c r="P148" s="104">
        <f t="shared" si="57"/>
        <v>0</v>
      </c>
      <c r="Q148" s="104">
        <f t="shared" si="57"/>
        <v>0</v>
      </c>
      <c r="R148" s="104">
        <f t="shared" si="57"/>
        <v>0</v>
      </c>
      <c r="S148" s="104">
        <f t="shared" si="57"/>
        <v>355450</v>
      </c>
      <c r="T148" s="104">
        <f t="shared" si="57"/>
        <v>355450</v>
      </c>
      <c r="U148" s="104">
        <f t="shared" si="57"/>
        <v>0</v>
      </c>
      <c r="V148" s="104">
        <f t="shared" si="57"/>
        <v>0</v>
      </c>
      <c r="W148" s="104">
        <f t="shared" si="57"/>
        <v>355450</v>
      </c>
      <c r="X148" s="104">
        <f t="shared" si="57"/>
        <v>355450</v>
      </c>
      <c r="Y148" s="104">
        <f t="shared" si="57"/>
        <v>0</v>
      </c>
      <c r="Z148" s="104">
        <f t="shared" si="57"/>
        <v>355450</v>
      </c>
    </row>
    <row r="149" spans="1:26" ht="25.5" x14ac:dyDescent="0.2">
      <c r="A149" s="76"/>
      <c r="B149" s="250" t="s">
        <v>44</v>
      </c>
      <c r="C149" s="10" t="s">
        <v>60</v>
      </c>
      <c r="D149" s="10" t="s">
        <v>83</v>
      </c>
      <c r="E149" s="10" t="s">
        <v>83</v>
      </c>
      <c r="F149" s="10" t="s">
        <v>83</v>
      </c>
      <c r="G149" s="10" t="s">
        <v>14</v>
      </c>
      <c r="H149" s="11" t="s">
        <v>83</v>
      </c>
      <c r="I149" s="102" t="s">
        <v>45</v>
      </c>
      <c r="J149" s="40">
        <v>308600</v>
      </c>
      <c r="K149" s="97">
        <v>0</v>
      </c>
      <c r="L149" s="104">
        <v>0</v>
      </c>
      <c r="M149" s="104">
        <v>0</v>
      </c>
      <c r="N149" s="104">
        <v>0</v>
      </c>
      <c r="O149" s="104">
        <v>355450</v>
      </c>
      <c r="P149" s="104">
        <v>0</v>
      </c>
      <c r="Q149" s="104">
        <v>0</v>
      </c>
      <c r="R149" s="104">
        <v>0</v>
      </c>
      <c r="S149" s="104">
        <v>355450</v>
      </c>
      <c r="T149" s="104">
        <v>355450</v>
      </c>
      <c r="U149" s="104">
        <v>0</v>
      </c>
      <c r="V149" s="104">
        <v>0</v>
      </c>
      <c r="W149" s="104">
        <v>355450</v>
      </c>
      <c r="X149" s="104">
        <v>355450</v>
      </c>
      <c r="Y149" s="104">
        <v>0</v>
      </c>
      <c r="Z149" s="104">
        <v>355450</v>
      </c>
    </row>
    <row r="150" spans="1:26" ht="38.25" x14ac:dyDescent="0.2">
      <c r="A150" s="76"/>
      <c r="B150" s="251" t="s">
        <v>244</v>
      </c>
      <c r="C150" s="10" t="s">
        <v>60</v>
      </c>
      <c r="D150" s="10" t="s">
        <v>83</v>
      </c>
      <c r="E150" s="10" t="s">
        <v>83</v>
      </c>
      <c r="F150" s="10" t="s">
        <v>83</v>
      </c>
      <c r="G150" s="10" t="s">
        <v>274</v>
      </c>
      <c r="H150" s="11" t="s">
        <v>83</v>
      </c>
      <c r="I150" s="198"/>
      <c r="J150" s="8">
        <f t="shared" ref="J150:N153" si="58">J151</f>
        <v>160000</v>
      </c>
      <c r="K150" s="9">
        <f t="shared" si="58"/>
        <v>0</v>
      </c>
      <c r="L150" s="112">
        <f t="shared" si="58"/>
        <v>0</v>
      </c>
      <c r="M150" s="112">
        <f t="shared" si="58"/>
        <v>0</v>
      </c>
      <c r="N150" s="112">
        <f>N151+N153</f>
        <v>0</v>
      </c>
      <c r="O150" s="112">
        <f t="shared" ref="O150:Z150" si="59">O151+O153</f>
        <v>260000</v>
      </c>
      <c r="P150" s="112">
        <f t="shared" si="59"/>
        <v>0</v>
      </c>
      <c r="Q150" s="112">
        <f t="shared" si="59"/>
        <v>250000</v>
      </c>
      <c r="R150" s="112">
        <f t="shared" si="59"/>
        <v>250000</v>
      </c>
      <c r="S150" s="112">
        <f t="shared" si="59"/>
        <v>0</v>
      </c>
      <c r="T150" s="112">
        <f t="shared" si="59"/>
        <v>260000</v>
      </c>
      <c r="U150" s="112">
        <f t="shared" si="59"/>
        <v>0</v>
      </c>
      <c r="V150" s="112">
        <f t="shared" si="59"/>
        <v>0</v>
      </c>
      <c r="W150" s="112">
        <f t="shared" si="59"/>
        <v>0</v>
      </c>
      <c r="X150" s="112">
        <f t="shared" si="59"/>
        <v>0</v>
      </c>
      <c r="Y150" s="112">
        <f t="shared" si="59"/>
        <v>0</v>
      </c>
      <c r="Z150" s="112">
        <f t="shared" si="59"/>
        <v>0</v>
      </c>
    </row>
    <row r="151" spans="1:26" ht="51" x14ac:dyDescent="0.2">
      <c r="A151" s="76"/>
      <c r="B151" s="250" t="s">
        <v>57</v>
      </c>
      <c r="C151" s="10" t="s">
        <v>60</v>
      </c>
      <c r="D151" s="10" t="s">
        <v>83</v>
      </c>
      <c r="E151" s="10" t="s">
        <v>83</v>
      </c>
      <c r="F151" s="10" t="s">
        <v>83</v>
      </c>
      <c r="G151" s="10" t="s">
        <v>274</v>
      </c>
      <c r="H151" s="11" t="s">
        <v>83</v>
      </c>
      <c r="I151" s="198" t="s">
        <v>50</v>
      </c>
      <c r="J151" s="8">
        <f t="shared" si="58"/>
        <v>160000</v>
      </c>
      <c r="K151" s="9">
        <f t="shared" si="58"/>
        <v>0</v>
      </c>
      <c r="L151" s="112">
        <f t="shared" si="58"/>
        <v>0</v>
      </c>
      <c r="M151" s="112">
        <f t="shared" si="58"/>
        <v>0</v>
      </c>
      <c r="N151" s="112">
        <f t="shared" si="58"/>
        <v>0</v>
      </c>
      <c r="O151" s="8">
        <f t="shared" ref="O151:Z153" si="60">O152</f>
        <v>130000</v>
      </c>
      <c r="P151" s="112">
        <f t="shared" si="60"/>
        <v>0</v>
      </c>
      <c r="Q151" s="112">
        <f t="shared" si="60"/>
        <v>130000</v>
      </c>
      <c r="R151" s="112">
        <f t="shared" si="60"/>
        <v>130000</v>
      </c>
      <c r="S151" s="8">
        <f t="shared" si="60"/>
        <v>0</v>
      </c>
      <c r="T151" s="112">
        <f t="shared" si="60"/>
        <v>130000</v>
      </c>
      <c r="U151" s="111">
        <f t="shared" si="60"/>
        <v>0</v>
      </c>
      <c r="V151" s="112">
        <f t="shared" si="60"/>
        <v>0</v>
      </c>
      <c r="W151" s="8">
        <f t="shared" si="60"/>
        <v>0</v>
      </c>
      <c r="X151" s="112">
        <f t="shared" si="60"/>
        <v>0</v>
      </c>
      <c r="Y151" s="112">
        <f t="shared" si="60"/>
        <v>0</v>
      </c>
      <c r="Z151" s="112">
        <f t="shared" si="60"/>
        <v>0</v>
      </c>
    </row>
    <row r="152" spans="1:26" ht="25.5" x14ac:dyDescent="0.2">
      <c r="A152" s="76"/>
      <c r="B152" s="250" t="s">
        <v>51</v>
      </c>
      <c r="C152" s="10" t="s">
        <v>60</v>
      </c>
      <c r="D152" s="10" t="s">
        <v>83</v>
      </c>
      <c r="E152" s="10" t="s">
        <v>83</v>
      </c>
      <c r="F152" s="10" t="s">
        <v>83</v>
      </c>
      <c r="G152" s="10" t="s">
        <v>274</v>
      </c>
      <c r="H152" s="11" t="s">
        <v>83</v>
      </c>
      <c r="I152" s="198" t="s">
        <v>115</v>
      </c>
      <c r="J152" s="8">
        <v>160000</v>
      </c>
      <c r="K152" s="9">
        <v>0</v>
      </c>
      <c r="L152" s="112">
        <v>0</v>
      </c>
      <c r="M152" s="112">
        <v>0</v>
      </c>
      <c r="N152" s="112">
        <v>0</v>
      </c>
      <c r="O152" s="8">
        <v>130000</v>
      </c>
      <c r="P152" s="112">
        <v>0</v>
      </c>
      <c r="Q152" s="112">
        <v>130000</v>
      </c>
      <c r="R152" s="112">
        <f>Q152</f>
        <v>130000</v>
      </c>
      <c r="S152" s="8">
        <v>0</v>
      </c>
      <c r="T152" s="112">
        <v>130000</v>
      </c>
      <c r="U152" s="111">
        <v>0</v>
      </c>
      <c r="V152" s="112">
        <v>0</v>
      </c>
      <c r="W152" s="8">
        <v>0</v>
      </c>
      <c r="X152" s="112">
        <v>0</v>
      </c>
      <c r="Y152" s="112">
        <v>0</v>
      </c>
      <c r="Z152" s="112">
        <v>0</v>
      </c>
    </row>
    <row r="153" spans="1:26" ht="25.5" x14ac:dyDescent="0.2">
      <c r="A153" s="76"/>
      <c r="B153" s="250" t="s">
        <v>42</v>
      </c>
      <c r="C153" s="10" t="s">
        <v>60</v>
      </c>
      <c r="D153" s="10" t="s">
        <v>83</v>
      </c>
      <c r="E153" s="10" t="s">
        <v>83</v>
      </c>
      <c r="F153" s="10" t="s">
        <v>83</v>
      </c>
      <c r="G153" s="10" t="s">
        <v>274</v>
      </c>
      <c r="H153" s="11" t="s">
        <v>83</v>
      </c>
      <c r="I153" s="198" t="s">
        <v>43</v>
      </c>
      <c r="J153" s="8">
        <f t="shared" si="58"/>
        <v>160000</v>
      </c>
      <c r="K153" s="9">
        <f t="shared" si="58"/>
        <v>0</v>
      </c>
      <c r="L153" s="112">
        <f t="shared" si="58"/>
        <v>0</v>
      </c>
      <c r="M153" s="112">
        <f t="shared" si="58"/>
        <v>0</v>
      </c>
      <c r="N153" s="112">
        <f t="shared" si="58"/>
        <v>0</v>
      </c>
      <c r="O153" s="8">
        <f t="shared" si="60"/>
        <v>130000</v>
      </c>
      <c r="P153" s="112">
        <f t="shared" si="60"/>
        <v>0</v>
      </c>
      <c r="Q153" s="112">
        <f t="shared" si="60"/>
        <v>120000</v>
      </c>
      <c r="R153" s="112">
        <f t="shared" si="60"/>
        <v>120000</v>
      </c>
      <c r="S153" s="8">
        <f t="shared" si="60"/>
        <v>0</v>
      </c>
      <c r="T153" s="112">
        <f t="shared" si="60"/>
        <v>130000</v>
      </c>
      <c r="U153" s="111">
        <f t="shared" si="60"/>
        <v>0</v>
      </c>
      <c r="V153" s="112">
        <f t="shared" si="60"/>
        <v>0</v>
      </c>
      <c r="W153" s="8">
        <f t="shared" si="60"/>
        <v>0</v>
      </c>
      <c r="X153" s="112">
        <f t="shared" si="60"/>
        <v>0</v>
      </c>
      <c r="Y153" s="112">
        <f t="shared" si="60"/>
        <v>0</v>
      </c>
      <c r="Z153" s="112">
        <f t="shared" si="60"/>
        <v>0</v>
      </c>
    </row>
    <row r="154" spans="1:26" ht="25.5" x14ac:dyDescent="0.2">
      <c r="A154" s="76"/>
      <c r="B154" s="250" t="s">
        <v>44</v>
      </c>
      <c r="C154" s="10" t="s">
        <v>60</v>
      </c>
      <c r="D154" s="10" t="s">
        <v>83</v>
      </c>
      <c r="E154" s="10" t="s">
        <v>83</v>
      </c>
      <c r="F154" s="10" t="s">
        <v>83</v>
      </c>
      <c r="G154" s="10" t="s">
        <v>274</v>
      </c>
      <c r="H154" s="11" t="s">
        <v>83</v>
      </c>
      <c r="I154" s="198" t="s">
        <v>45</v>
      </c>
      <c r="J154" s="8">
        <v>160000</v>
      </c>
      <c r="K154" s="9">
        <v>0</v>
      </c>
      <c r="L154" s="112">
        <v>0</v>
      </c>
      <c r="M154" s="112">
        <v>0</v>
      </c>
      <c r="N154" s="112">
        <v>0</v>
      </c>
      <c r="O154" s="8">
        <v>130000</v>
      </c>
      <c r="P154" s="112">
        <v>0</v>
      </c>
      <c r="Q154" s="112">
        <v>120000</v>
      </c>
      <c r="R154" s="112">
        <f>Q154</f>
        <v>120000</v>
      </c>
      <c r="S154" s="8">
        <v>0</v>
      </c>
      <c r="T154" s="112">
        <v>130000</v>
      </c>
      <c r="U154" s="111">
        <v>0</v>
      </c>
      <c r="V154" s="112">
        <v>0</v>
      </c>
      <c r="W154" s="8">
        <v>0</v>
      </c>
      <c r="X154" s="112">
        <v>0</v>
      </c>
      <c r="Y154" s="112">
        <v>0</v>
      </c>
      <c r="Z154" s="112">
        <v>0</v>
      </c>
    </row>
    <row r="155" spans="1:26" ht="9.75" customHeight="1" x14ac:dyDescent="0.2">
      <c r="A155" s="76"/>
      <c r="B155" s="169"/>
      <c r="C155" s="47"/>
      <c r="D155" s="26"/>
      <c r="E155" s="26"/>
      <c r="F155" s="26"/>
      <c r="G155" s="176"/>
      <c r="H155" s="28"/>
      <c r="I155" s="123"/>
      <c r="J155" s="177"/>
      <c r="K155" s="153"/>
      <c r="L155" s="153"/>
      <c r="M155" s="153"/>
      <c r="N155" s="153"/>
      <c r="O155" s="154"/>
      <c r="P155" s="154"/>
      <c r="Q155" s="153"/>
      <c r="R155" s="153"/>
      <c r="S155" s="154"/>
      <c r="T155" s="154"/>
      <c r="U155" s="154"/>
      <c r="V155" s="154"/>
      <c r="W155" s="154"/>
      <c r="X155" s="154"/>
      <c r="Y155" s="154"/>
      <c r="Z155" s="154"/>
    </row>
    <row r="156" spans="1:26" ht="47.25" x14ac:dyDescent="0.2">
      <c r="A156" s="76"/>
      <c r="B156" s="139" t="s">
        <v>268</v>
      </c>
      <c r="C156" s="140" t="s">
        <v>64</v>
      </c>
      <c r="D156" s="141" t="s">
        <v>83</v>
      </c>
      <c r="E156" s="142" t="s">
        <v>83</v>
      </c>
      <c r="F156" s="142" t="s">
        <v>83</v>
      </c>
      <c r="G156" s="141" t="s">
        <v>84</v>
      </c>
      <c r="H156" s="130" t="s">
        <v>83</v>
      </c>
      <c r="I156" s="295"/>
      <c r="J156" s="143">
        <f t="shared" ref="J156:X156" si="61">J164+J157</f>
        <v>383600</v>
      </c>
      <c r="K156" s="144">
        <f t="shared" si="61"/>
        <v>0</v>
      </c>
      <c r="L156" s="145">
        <f t="shared" si="61"/>
        <v>0</v>
      </c>
      <c r="M156" s="145">
        <f t="shared" si="61"/>
        <v>0</v>
      </c>
      <c r="N156" s="145">
        <f t="shared" si="61"/>
        <v>0</v>
      </c>
      <c r="O156" s="145">
        <f t="shared" si="61"/>
        <v>610000</v>
      </c>
      <c r="P156" s="145">
        <f t="shared" si="61"/>
        <v>0</v>
      </c>
      <c r="Q156" s="145">
        <f>Q164+Q157</f>
        <v>300000</v>
      </c>
      <c r="R156" s="145">
        <f>R164+R157</f>
        <v>300000</v>
      </c>
      <c r="S156" s="145">
        <f t="shared" si="61"/>
        <v>610000</v>
      </c>
      <c r="T156" s="146">
        <f t="shared" si="61"/>
        <v>610000</v>
      </c>
      <c r="U156" s="146">
        <f t="shared" si="61"/>
        <v>0</v>
      </c>
      <c r="V156" s="145">
        <f>V164+V157</f>
        <v>0</v>
      </c>
      <c r="W156" s="145">
        <f>W164+W157</f>
        <v>610000</v>
      </c>
      <c r="X156" s="146">
        <f t="shared" si="61"/>
        <v>610000</v>
      </c>
      <c r="Y156" s="146">
        <f>Y164+Y157</f>
        <v>0</v>
      </c>
      <c r="Z156" s="146">
        <f>Z164+Z157</f>
        <v>610000</v>
      </c>
    </row>
    <row r="157" spans="1:26" ht="36" customHeight="1" x14ac:dyDescent="0.2">
      <c r="A157" s="76"/>
      <c r="B157" s="147" t="s">
        <v>269</v>
      </c>
      <c r="C157" s="178" t="s">
        <v>64</v>
      </c>
      <c r="D157" s="6" t="s">
        <v>85</v>
      </c>
      <c r="E157" s="118" t="s">
        <v>83</v>
      </c>
      <c r="F157" s="118" t="s">
        <v>83</v>
      </c>
      <c r="G157" s="6" t="s">
        <v>84</v>
      </c>
      <c r="H157" s="116" t="s">
        <v>83</v>
      </c>
      <c r="I157" s="179"/>
      <c r="J157" s="83">
        <f t="shared" ref="J157:Z157" si="62">J158</f>
        <v>13600</v>
      </c>
      <c r="K157" s="84">
        <f t="shared" si="62"/>
        <v>0</v>
      </c>
      <c r="L157" s="85">
        <f t="shared" si="62"/>
        <v>0</v>
      </c>
      <c r="M157" s="85">
        <f t="shared" si="62"/>
        <v>0</v>
      </c>
      <c r="N157" s="85">
        <f t="shared" si="62"/>
        <v>0</v>
      </c>
      <c r="O157" s="85">
        <f t="shared" si="62"/>
        <v>10000</v>
      </c>
      <c r="P157" s="85">
        <f t="shared" si="62"/>
        <v>0</v>
      </c>
      <c r="Q157" s="85">
        <f t="shared" si="62"/>
        <v>0</v>
      </c>
      <c r="R157" s="85">
        <f t="shared" si="62"/>
        <v>0</v>
      </c>
      <c r="S157" s="85">
        <f t="shared" si="62"/>
        <v>10000</v>
      </c>
      <c r="T157" s="91">
        <f t="shared" si="62"/>
        <v>10000</v>
      </c>
      <c r="U157" s="91">
        <f t="shared" si="62"/>
        <v>0</v>
      </c>
      <c r="V157" s="85">
        <f t="shared" si="62"/>
        <v>0</v>
      </c>
      <c r="W157" s="85">
        <f t="shared" si="62"/>
        <v>10000</v>
      </c>
      <c r="X157" s="91">
        <f t="shared" si="62"/>
        <v>10000</v>
      </c>
      <c r="Y157" s="91">
        <f t="shared" si="62"/>
        <v>0</v>
      </c>
      <c r="Z157" s="91">
        <f t="shared" si="62"/>
        <v>10000</v>
      </c>
    </row>
    <row r="158" spans="1:26" ht="18.75" x14ac:dyDescent="0.2">
      <c r="A158" s="76"/>
      <c r="B158" s="147" t="s">
        <v>145</v>
      </c>
      <c r="C158" s="20" t="s">
        <v>64</v>
      </c>
      <c r="D158" s="21" t="s">
        <v>85</v>
      </c>
      <c r="E158" s="10" t="s">
        <v>83</v>
      </c>
      <c r="F158" s="10" t="s">
        <v>83</v>
      </c>
      <c r="G158" s="21" t="s">
        <v>146</v>
      </c>
      <c r="H158" s="11" t="s">
        <v>83</v>
      </c>
      <c r="I158" s="180"/>
      <c r="J158" s="40">
        <f t="shared" ref="J158:X158" si="63">J159+J161</f>
        <v>13600</v>
      </c>
      <c r="K158" s="97">
        <f t="shared" si="63"/>
        <v>0</v>
      </c>
      <c r="L158" s="98">
        <f t="shared" si="63"/>
        <v>0</v>
      </c>
      <c r="M158" s="98">
        <f t="shared" si="63"/>
        <v>0</v>
      </c>
      <c r="N158" s="98">
        <f t="shared" si="63"/>
        <v>0</v>
      </c>
      <c r="O158" s="98">
        <f t="shared" si="63"/>
        <v>10000</v>
      </c>
      <c r="P158" s="98">
        <f t="shared" si="63"/>
        <v>0</v>
      </c>
      <c r="Q158" s="98">
        <f>Q159+Q161</f>
        <v>0</v>
      </c>
      <c r="R158" s="98">
        <f>R159+R161</f>
        <v>0</v>
      </c>
      <c r="S158" s="98">
        <f t="shared" si="63"/>
        <v>10000</v>
      </c>
      <c r="T158" s="99">
        <f t="shared" si="63"/>
        <v>10000</v>
      </c>
      <c r="U158" s="99">
        <f t="shared" si="63"/>
        <v>0</v>
      </c>
      <c r="V158" s="98">
        <f>V159+V161</f>
        <v>0</v>
      </c>
      <c r="W158" s="98">
        <f>W159+W161</f>
        <v>10000</v>
      </c>
      <c r="X158" s="99">
        <f t="shared" si="63"/>
        <v>10000</v>
      </c>
      <c r="Y158" s="99">
        <f>Y159+Y161</f>
        <v>0</v>
      </c>
      <c r="Z158" s="99">
        <f>Z159+Z161</f>
        <v>10000</v>
      </c>
    </row>
    <row r="159" spans="1:26" ht="25.5" hidden="1" x14ac:dyDescent="0.2">
      <c r="A159" s="76"/>
      <c r="B159" s="147" t="s">
        <v>42</v>
      </c>
      <c r="C159" s="20" t="s">
        <v>64</v>
      </c>
      <c r="D159" s="21" t="s">
        <v>85</v>
      </c>
      <c r="E159" s="10" t="s">
        <v>83</v>
      </c>
      <c r="F159" s="10" t="s">
        <v>83</v>
      </c>
      <c r="G159" s="21" t="s">
        <v>146</v>
      </c>
      <c r="H159" s="11" t="s">
        <v>83</v>
      </c>
      <c r="I159" s="180" t="s">
        <v>43</v>
      </c>
      <c r="J159" s="40">
        <f t="shared" ref="J159:Z159" si="64">J160</f>
        <v>3600</v>
      </c>
      <c r="K159" s="97">
        <f t="shared" si="64"/>
        <v>0</v>
      </c>
      <c r="L159" s="98">
        <f t="shared" si="64"/>
        <v>0</v>
      </c>
      <c r="M159" s="98">
        <f t="shared" si="64"/>
        <v>0</v>
      </c>
      <c r="N159" s="98">
        <f t="shared" si="64"/>
        <v>0</v>
      </c>
      <c r="O159" s="98">
        <f t="shared" si="64"/>
        <v>0</v>
      </c>
      <c r="P159" s="98">
        <f t="shared" si="64"/>
        <v>0</v>
      </c>
      <c r="Q159" s="98">
        <f t="shared" si="64"/>
        <v>0</v>
      </c>
      <c r="R159" s="98">
        <f t="shared" si="64"/>
        <v>0</v>
      </c>
      <c r="S159" s="98">
        <f t="shared" si="64"/>
        <v>0</v>
      </c>
      <c r="T159" s="99">
        <f t="shared" si="64"/>
        <v>0</v>
      </c>
      <c r="U159" s="99">
        <f t="shared" si="64"/>
        <v>0</v>
      </c>
      <c r="V159" s="98">
        <f t="shared" si="64"/>
        <v>0</v>
      </c>
      <c r="W159" s="98">
        <f t="shared" si="64"/>
        <v>0</v>
      </c>
      <c r="X159" s="99">
        <f t="shared" si="64"/>
        <v>0</v>
      </c>
      <c r="Y159" s="99">
        <f t="shared" si="64"/>
        <v>0</v>
      </c>
      <c r="Z159" s="99">
        <f t="shared" si="64"/>
        <v>0</v>
      </c>
    </row>
    <row r="160" spans="1:26" ht="25.5" hidden="1" x14ac:dyDescent="0.2">
      <c r="A160" s="76"/>
      <c r="B160" s="147" t="s">
        <v>44</v>
      </c>
      <c r="C160" s="20" t="s">
        <v>64</v>
      </c>
      <c r="D160" s="21" t="s">
        <v>85</v>
      </c>
      <c r="E160" s="10" t="s">
        <v>83</v>
      </c>
      <c r="F160" s="10" t="s">
        <v>83</v>
      </c>
      <c r="G160" s="21" t="s">
        <v>146</v>
      </c>
      <c r="H160" s="11" t="s">
        <v>83</v>
      </c>
      <c r="I160" s="180" t="s">
        <v>45</v>
      </c>
      <c r="J160" s="40">
        <v>3600</v>
      </c>
      <c r="K160" s="97">
        <v>0</v>
      </c>
      <c r="L160" s="98"/>
      <c r="M160" s="98"/>
      <c r="N160" s="98"/>
      <c r="O160" s="98"/>
      <c r="P160" s="98"/>
      <c r="Q160" s="98"/>
      <c r="R160" s="98"/>
      <c r="S160" s="98"/>
      <c r="T160" s="99"/>
      <c r="U160" s="99"/>
      <c r="V160" s="98"/>
      <c r="W160" s="98"/>
      <c r="X160" s="99"/>
      <c r="Y160" s="99"/>
      <c r="Z160" s="99"/>
    </row>
    <row r="161" spans="1:26" ht="13.5" customHeight="1" x14ac:dyDescent="0.2">
      <c r="A161" s="76"/>
      <c r="B161" s="175" t="s">
        <v>100</v>
      </c>
      <c r="C161" s="20" t="s">
        <v>64</v>
      </c>
      <c r="D161" s="21" t="s">
        <v>85</v>
      </c>
      <c r="E161" s="10" t="s">
        <v>83</v>
      </c>
      <c r="F161" s="10" t="s">
        <v>83</v>
      </c>
      <c r="G161" s="21" t="s">
        <v>146</v>
      </c>
      <c r="H161" s="11" t="s">
        <v>83</v>
      </c>
      <c r="I161" s="180" t="s">
        <v>47</v>
      </c>
      <c r="J161" s="40">
        <f t="shared" ref="J161:Z161" si="65">J162</f>
        <v>10000</v>
      </c>
      <c r="K161" s="97">
        <f t="shared" si="65"/>
        <v>0</v>
      </c>
      <c r="L161" s="98">
        <f t="shared" si="65"/>
        <v>0</v>
      </c>
      <c r="M161" s="98">
        <f t="shared" si="65"/>
        <v>0</v>
      </c>
      <c r="N161" s="98">
        <f t="shared" si="65"/>
        <v>0</v>
      </c>
      <c r="O161" s="98">
        <f t="shared" si="65"/>
        <v>10000</v>
      </c>
      <c r="P161" s="98">
        <f t="shared" si="65"/>
        <v>0</v>
      </c>
      <c r="Q161" s="98">
        <f t="shared" si="65"/>
        <v>0</v>
      </c>
      <c r="R161" s="98">
        <f t="shared" si="65"/>
        <v>0</v>
      </c>
      <c r="S161" s="98">
        <f t="shared" si="65"/>
        <v>10000</v>
      </c>
      <c r="T161" s="99">
        <f t="shared" si="65"/>
        <v>10000</v>
      </c>
      <c r="U161" s="99">
        <f t="shared" si="65"/>
        <v>0</v>
      </c>
      <c r="V161" s="98">
        <f t="shared" si="65"/>
        <v>0</v>
      </c>
      <c r="W161" s="98">
        <f t="shared" si="65"/>
        <v>10000</v>
      </c>
      <c r="X161" s="99">
        <f t="shared" si="65"/>
        <v>10000</v>
      </c>
      <c r="Y161" s="99">
        <f t="shared" si="65"/>
        <v>0</v>
      </c>
      <c r="Z161" s="99">
        <f t="shared" si="65"/>
        <v>10000</v>
      </c>
    </row>
    <row r="162" spans="1:26" ht="18.75" x14ac:dyDescent="0.2">
      <c r="A162" s="76"/>
      <c r="B162" s="100" t="s">
        <v>101</v>
      </c>
      <c r="C162" s="20" t="s">
        <v>64</v>
      </c>
      <c r="D162" s="21" t="s">
        <v>85</v>
      </c>
      <c r="E162" s="10" t="s">
        <v>83</v>
      </c>
      <c r="F162" s="10" t="s">
        <v>83</v>
      </c>
      <c r="G162" s="21" t="s">
        <v>146</v>
      </c>
      <c r="H162" s="11" t="s">
        <v>83</v>
      </c>
      <c r="I162" s="180" t="s">
        <v>99</v>
      </c>
      <c r="J162" s="40">
        <v>10000</v>
      </c>
      <c r="K162" s="97">
        <v>0</v>
      </c>
      <c r="L162" s="98">
        <v>0</v>
      </c>
      <c r="M162" s="98">
        <v>0</v>
      </c>
      <c r="N162" s="98">
        <v>0</v>
      </c>
      <c r="O162" s="98">
        <v>10000</v>
      </c>
      <c r="P162" s="98">
        <v>0</v>
      </c>
      <c r="Q162" s="98">
        <v>0</v>
      </c>
      <c r="R162" s="98">
        <v>0</v>
      </c>
      <c r="S162" s="98">
        <v>10000</v>
      </c>
      <c r="T162" s="99">
        <v>10000</v>
      </c>
      <c r="U162" s="99">
        <v>0</v>
      </c>
      <c r="V162" s="98">
        <v>0</v>
      </c>
      <c r="W162" s="98">
        <v>10000</v>
      </c>
      <c r="X162" s="99">
        <v>10000</v>
      </c>
      <c r="Y162" s="99">
        <v>0</v>
      </c>
      <c r="Z162" s="99">
        <v>10000</v>
      </c>
    </row>
    <row r="163" spans="1:26" ht="6.75" customHeight="1" x14ac:dyDescent="0.2">
      <c r="A163" s="76"/>
      <c r="B163" s="139"/>
      <c r="C163" s="87"/>
      <c r="D163" s="88"/>
      <c r="E163" s="16"/>
      <c r="F163" s="16"/>
      <c r="G163" s="88"/>
      <c r="H163" s="11"/>
      <c r="I163" s="181"/>
      <c r="J163" s="83"/>
      <c r="K163" s="84"/>
      <c r="L163" s="85"/>
      <c r="M163" s="85"/>
      <c r="N163" s="85"/>
      <c r="O163" s="85"/>
      <c r="P163" s="85"/>
      <c r="Q163" s="85"/>
      <c r="R163" s="85"/>
      <c r="S163" s="85"/>
      <c r="T163" s="91"/>
      <c r="U163" s="91"/>
      <c r="V163" s="85"/>
      <c r="W163" s="85"/>
      <c r="X163" s="91"/>
      <c r="Y163" s="91"/>
      <c r="Z163" s="91"/>
    </row>
    <row r="164" spans="1:26" s="94" customFormat="1" ht="38.25" x14ac:dyDescent="0.2">
      <c r="A164" s="92"/>
      <c r="B164" s="147" t="s">
        <v>270</v>
      </c>
      <c r="C164" s="182" t="s">
        <v>64</v>
      </c>
      <c r="D164" s="183" t="s">
        <v>81</v>
      </c>
      <c r="E164" s="115" t="s">
        <v>83</v>
      </c>
      <c r="F164" s="115" t="s">
        <v>83</v>
      </c>
      <c r="G164" s="183" t="s">
        <v>84</v>
      </c>
      <c r="H164" s="116" t="s">
        <v>83</v>
      </c>
      <c r="I164" s="179"/>
      <c r="J164" s="184">
        <f t="shared" ref="J164:Y166" si="66">J165</f>
        <v>370000</v>
      </c>
      <c r="K164" s="185">
        <f t="shared" si="66"/>
        <v>0</v>
      </c>
      <c r="L164" s="186">
        <f t="shared" ref="L164:Z164" si="67">L165</f>
        <v>0</v>
      </c>
      <c r="M164" s="186">
        <f t="shared" si="67"/>
        <v>0</v>
      </c>
      <c r="N164" s="186">
        <f t="shared" si="67"/>
        <v>0</v>
      </c>
      <c r="O164" s="186">
        <f t="shared" si="67"/>
        <v>600000</v>
      </c>
      <c r="P164" s="186">
        <f t="shared" si="67"/>
        <v>0</v>
      </c>
      <c r="Q164" s="186">
        <f t="shared" si="67"/>
        <v>300000</v>
      </c>
      <c r="R164" s="186">
        <f t="shared" si="67"/>
        <v>300000</v>
      </c>
      <c r="S164" s="186">
        <f t="shared" si="67"/>
        <v>600000</v>
      </c>
      <c r="T164" s="186">
        <f t="shared" si="67"/>
        <v>600000</v>
      </c>
      <c r="U164" s="186">
        <f t="shared" si="67"/>
        <v>0</v>
      </c>
      <c r="V164" s="186">
        <f t="shared" si="67"/>
        <v>0</v>
      </c>
      <c r="W164" s="186">
        <f t="shared" si="67"/>
        <v>600000</v>
      </c>
      <c r="X164" s="186">
        <f t="shared" si="67"/>
        <v>600000</v>
      </c>
      <c r="Y164" s="186">
        <f t="shared" si="67"/>
        <v>0</v>
      </c>
      <c r="Z164" s="186">
        <f t="shared" si="67"/>
        <v>600000</v>
      </c>
    </row>
    <row r="165" spans="1:26" s="94" customFormat="1" ht="18.75" x14ac:dyDescent="0.2">
      <c r="A165" s="92"/>
      <c r="B165" s="100" t="s">
        <v>155</v>
      </c>
      <c r="C165" s="20" t="s">
        <v>64</v>
      </c>
      <c r="D165" s="21" t="s">
        <v>81</v>
      </c>
      <c r="E165" s="10" t="s">
        <v>83</v>
      </c>
      <c r="F165" s="10" t="s">
        <v>83</v>
      </c>
      <c r="G165" s="21" t="s">
        <v>14</v>
      </c>
      <c r="H165" s="11" t="s">
        <v>83</v>
      </c>
      <c r="I165" s="180"/>
      <c r="J165" s="108">
        <f t="shared" si="66"/>
        <v>370000</v>
      </c>
      <c r="K165" s="1">
        <f t="shared" si="66"/>
        <v>0</v>
      </c>
      <c r="L165" s="109">
        <f t="shared" si="66"/>
        <v>0</v>
      </c>
      <c r="M165" s="109">
        <f t="shared" si="66"/>
        <v>0</v>
      </c>
      <c r="N165" s="109">
        <f t="shared" si="66"/>
        <v>0</v>
      </c>
      <c r="O165" s="109">
        <f t="shared" si="66"/>
        <v>600000</v>
      </c>
      <c r="P165" s="109">
        <f t="shared" si="66"/>
        <v>0</v>
      </c>
      <c r="Q165" s="109">
        <f t="shared" si="66"/>
        <v>300000</v>
      </c>
      <c r="R165" s="109">
        <f t="shared" si="66"/>
        <v>300000</v>
      </c>
      <c r="S165" s="109">
        <f t="shared" si="66"/>
        <v>600000</v>
      </c>
      <c r="T165" s="110">
        <f t="shared" si="66"/>
        <v>600000</v>
      </c>
      <c r="U165" s="110">
        <f t="shared" si="66"/>
        <v>0</v>
      </c>
      <c r="V165" s="109">
        <f t="shared" si="66"/>
        <v>0</v>
      </c>
      <c r="W165" s="109">
        <f t="shared" si="66"/>
        <v>600000</v>
      </c>
      <c r="X165" s="110">
        <f t="shared" si="66"/>
        <v>600000</v>
      </c>
      <c r="Y165" s="110">
        <f t="shared" si="66"/>
        <v>0</v>
      </c>
      <c r="Z165" s="110">
        <f>Z166</f>
        <v>600000</v>
      </c>
    </row>
    <row r="166" spans="1:26" s="94" customFormat="1" ht="25.5" x14ac:dyDescent="0.2">
      <c r="A166" s="92"/>
      <c r="B166" s="100" t="s">
        <v>21</v>
      </c>
      <c r="C166" s="20" t="s">
        <v>64</v>
      </c>
      <c r="D166" s="21" t="s">
        <v>81</v>
      </c>
      <c r="E166" s="10" t="s">
        <v>83</v>
      </c>
      <c r="F166" s="10" t="s">
        <v>83</v>
      </c>
      <c r="G166" s="21" t="s">
        <v>14</v>
      </c>
      <c r="H166" s="11" t="s">
        <v>83</v>
      </c>
      <c r="I166" s="180" t="s">
        <v>96</v>
      </c>
      <c r="J166" s="108">
        <f t="shared" si="66"/>
        <v>370000</v>
      </c>
      <c r="K166" s="1">
        <f t="shared" si="66"/>
        <v>0</v>
      </c>
      <c r="L166" s="109">
        <f t="shared" si="66"/>
        <v>0</v>
      </c>
      <c r="M166" s="109">
        <f t="shared" si="66"/>
        <v>0</v>
      </c>
      <c r="N166" s="109">
        <f t="shared" si="66"/>
        <v>0</v>
      </c>
      <c r="O166" s="109">
        <f t="shared" si="66"/>
        <v>600000</v>
      </c>
      <c r="P166" s="109">
        <f t="shared" si="66"/>
        <v>0</v>
      </c>
      <c r="Q166" s="109">
        <f t="shared" si="66"/>
        <v>300000</v>
      </c>
      <c r="R166" s="109">
        <f t="shared" si="66"/>
        <v>300000</v>
      </c>
      <c r="S166" s="109">
        <f t="shared" si="66"/>
        <v>600000</v>
      </c>
      <c r="T166" s="110">
        <f t="shared" si="66"/>
        <v>600000</v>
      </c>
      <c r="U166" s="110">
        <f t="shared" si="66"/>
        <v>0</v>
      </c>
      <c r="V166" s="109">
        <f t="shared" si="66"/>
        <v>0</v>
      </c>
      <c r="W166" s="109">
        <f t="shared" si="66"/>
        <v>600000</v>
      </c>
      <c r="X166" s="110">
        <f t="shared" si="66"/>
        <v>600000</v>
      </c>
      <c r="Y166" s="110">
        <f>Y167</f>
        <v>0</v>
      </c>
      <c r="Z166" s="110">
        <f>Z167</f>
        <v>600000</v>
      </c>
    </row>
    <row r="167" spans="1:26" s="94" customFormat="1" ht="18.75" x14ac:dyDescent="0.2">
      <c r="A167" s="92"/>
      <c r="B167" s="100" t="s">
        <v>22</v>
      </c>
      <c r="C167" s="20" t="s">
        <v>64</v>
      </c>
      <c r="D167" s="21" t="s">
        <v>81</v>
      </c>
      <c r="E167" s="10" t="s">
        <v>83</v>
      </c>
      <c r="F167" s="10" t="s">
        <v>83</v>
      </c>
      <c r="G167" s="21" t="s">
        <v>14</v>
      </c>
      <c r="H167" s="11" t="s">
        <v>83</v>
      </c>
      <c r="I167" s="180" t="s">
        <v>23</v>
      </c>
      <c r="J167" s="108">
        <f>200000+70000+100000</f>
        <v>370000</v>
      </c>
      <c r="K167" s="1">
        <v>0</v>
      </c>
      <c r="L167" s="109">
        <v>0</v>
      </c>
      <c r="M167" s="109">
        <v>0</v>
      </c>
      <c r="N167" s="109">
        <v>0</v>
      </c>
      <c r="O167" s="109">
        <v>600000</v>
      </c>
      <c r="P167" s="109">
        <v>0</v>
      </c>
      <c r="Q167" s="109">
        <v>300000</v>
      </c>
      <c r="R167" s="109">
        <f>Q167</f>
        <v>300000</v>
      </c>
      <c r="S167" s="109">
        <v>600000</v>
      </c>
      <c r="T167" s="110">
        <v>600000</v>
      </c>
      <c r="U167" s="110">
        <v>0</v>
      </c>
      <c r="V167" s="109">
        <v>0</v>
      </c>
      <c r="W167" s="109">
        <v>600000</v>
      </c>
      <c r="X167" s="110">
        <v>600000</v>
      </c>
      <c r="Y167" s="110">
        <v>0</v>
      </c>
      <c r="Z167" s="110">
        <v>600000</v>
      </c>
    </row>
    <row r="168" spans="1:26" s="94" customFormat="1" ht="2.25" customHeight="1" x14ac:dyDescent="0.2">
      <c r="A168" s="92"/>
      <c r="B168" s="169"/>
      <c r="C168" s="24"/>
      <c r="D168" s="25"/>
      <c r="E168" s="26"/>
      <c r="F168" s="26"/>
      <c r="G168" s="25"/>
      <c r="H168" s="28"/>
      <c r="I168" s="187"/>
      <c r="J168" s="124"/>
      <c r="K168" s="125"/>
      <c r="L168" s="126"/>
      <c r="M168" s="126"/>
      <c r="N168" s="126"/>
      <c r="O168" s="126"/>
      <c r="P168" s="126"/>
      <c r="Q168" s="126"/>
      <c r="R168" s="126"/>
      <c r="S168" s="126"/>
      <c r="T168" s="127"/>
      <c r="U168" s="127"/>
      <c r="V168" s="126"/>
      <c r="W168" s="126"/>
      <c r="X168" s="127"/>
      <c r="Y168" s="127"/>
      <c r="Z168" s="127"/>
    </row>
    <row r="169" spans="1:26" ht="13.5" customHeight="1" x14ac:dyDescent="0.2">
      <c r="A169" s="76"/>
      <c r="B169" s="147"/>
      <c r="C169" s="188"/>
      <c r="D169" s="189"/>
      <c r="E169" s="189"/>
      <c r="F169" s="189"/>
      <c r="G169" s="189"/>
      <c r="H169" s="180"/>
      <c r="I169" s="149"/>
      <c r="J169" s="108"/>
      <c r="K169" s="1"/>
      <c r="L169" s="163"/>
      <c r="M169" s="163"/>
      <c r="N169" s="163"/>
      <c r="O169" s="164"/>
      <c r="P169" s="164"/>
      <c r="Q169" s="163"/>
      <c r="R169" s="163"/>
      <c r="S169" s="164"/>
      <c r="T169" s="165"/>
      <c r="U169" s="165"/>
      <c r="V169" s="164"/>
      <c r="W169" s="164"/>
      <c r="X169" s="165"/>
      <c r="Y169" s="165"/>
      <c r="Z169" s="165"/>
    </row>
    <row r="170" spans="1:26" s="94" customFormat="1" ht="31.5" x14ac:dyDescent="0.2">
      <c r="A170" s="190"/>
      <c r="B170" s="86" t="s">
        <v>256</v>
      </c>
      <c r="C170" s="191" t="s">
        <v>65</v>
      </c>
      <c r="D170" s="115" t="s">
        <v>83</v>
      </c>
      <c r="E170" s="115" t="s">
        <v>83</v>
      </c>
      <c r="F170" s="115" t="s">
        <v>83</v>
      </c>
      <c r="G170" s="115" t="s">
        <v>84</v>
      </c>
      <c r="H170" s="116" t="s">
        <v>83</v>
      </c>
      <c r="I170" s="192"/>
      <c r="J170" s="83">
        <f t="shared" ref="J170:Y172" si="68">J171</f>
        <v>990000</v>
      </c>
      <c r="K170" s="84">
        <f t="shared" si="68"/>
        <v>0</v>
      </c>
      <c r="L170" s="84">
        <f t="shared" si="68"/>
        <v>0</v>
      </c>
      <c r="M170" s="84">
        <f t="shared" si="68"/>
        <v>0</v>
      </c>
      <c r="N170" s="84">
        <f t="shared" si="68"/>
        <v>0</v>
      </c>
      <c r="O170" s="85">
        <f t="shared" ref="O170:Z172" si="69">O171</f>
        <v>1700000</v>
      </c>
      <c r="P170" s="85">
        <f t="shared" si="69"/>
        <v>0</v>
      </c>
      <c r="Q170" s="84">
        <f t="shared" si="68"/>
        <v>593887.29</v>
      </c>
      <c r="R170" s="84">
        <f t="shared" si="68"/>
        <v>593887.29</v>
      </c>
      <c r="S170" s="85">
        <f t="shared" si="69"/>
        <v>1700000</v>
      </c>
      <c r="T170" s="91">
        <f t="shared" si="69"/>
        <v>1700000</v>
      </c>
      <c r="U170" s="91">
        <f t="shared" si="69"/>
        <v>0</v>
      </c>
      <c r="V170" s="85">
        <f t="shared" si="69"/>
        <v>0</v>
      </c>
      <c r="W170" s="85">
        <f t="shared" si="69"/>
        <v>1700000</v>
      </c>
      <c r="X170" s="91">
        <f t="shared" si="69"/>
        <v>1700000</v>
      </c>
      <c r="Y170" s="91">
        <f t="shared" si="69"/>
        <v>0</v>
      </c>
      <c r="Z170" s="91">
        <f t="shared" si="69"/>
        <v>1700000</v>
      </c>
    </row>
    <row r="171" spans="1:26" ht="89.25" x14ac:dyDescent="0.2">
      <c r="A171" s="193"/>
      <c r="B171" s="95" t="s">
        <v>216</v>
      </c>
      <c r="C171" s="34" t="s">
        <v>65</v>
      </c>
      <c r="D171" s="10" t="s">
        <v>83</v>
      </c>
      <c r="E171" s="10" t="s">
        <v>83</v>
      </c>
      <c r="F171" s="10" t="s">
        <v>83</v>
      </c>
      <c r="G171" s="10" t="s">
        <v>132</v>
      </c>
      <c r="H171" s="11" t="s">
        <v>85</v>
      </c>
      <c r="I171" s="102"/>
      <c r="J171" s="40">
        <f t="shared" si="68"/>
        <v>990000</v>
      </c>
      <c r="K171" s="97">
        <f t="shared" si="68"/>
        <v>0</v>
      </c>
      <c r="L171" s="97">
        <f t="shared" si="68"/>
        <v>0</v>
      </c>
      <c r="M171" s="97">
        <f t="shared" si="68"/>
        <v>0</v>
      </c>
      <c r="N171" s="97">
        <f t="shared" si="68"/>
        <v>0</v>
      </c>
      <c r="O171" s="98">
        <f t="shared" si="69"/>
        <v>1700000</v>
      </c>
      <c r="P171" s="98">
        <f t="shared" si="69"/>
        <v>0</v>
      </c>
      <c r="Q171" s="97">
        <f t="shared" si="68"/>
        <v>593887.29</v>
      </c>
      <c r="R171" s="97">
        <f t="shared" si="68"/>
        <v>593887.29</v>
      </c>
      <c r="S171" s="98">
        <f t="shared" si="69"/>
        <v>1700000</v>
      </c>
      <c r="T171" s="99">
        <f t="shared" si="69"/>
        <v>1700000</v>
      </c>
      <c r="U171" s="99">
        <f t="shared" si="69"/>
        <v>0</v>
      </c>
      <c r="V171" s="98">
        <f t="shared" si="69"/>
        <v>0</v>
      </c>
      <c r="W171" s="98">
        <f t="shared" si="69"/>
        <v>1700000</v>
      </c>
      <c r="X171" s="99">
        <f t="shared" si="69"/>
        <v>1700000</v>
      </c>
      <c r="Y171" s="99">
        <f t="shared" si="69"/>
        <v>0</v>
      </c>
      <c r="Z171" s="99">
        <f t="shared" si="69"/>
        <v>1700000</v>
      </c>
    </row>
    <row r="172" spans="1:26" x14ac:dyDescent="0.2">
      <c r="A172" s="193"/>
      <c r="B172" s="100" t="s">
        <v>46</v>
      </c>
      <c r="C172" s="34" t="s">
        <v>65</v>
      </c>
      <c r="D172" s="10" t="s">
        <v>83</v>
      </c>
      <c r="E172" s="10" t="s">
        <v>83</v>
      </c>
      <c r="F172" s="10" t="s">
        <v>83</v>
      </c>
      <c r="G172" s="10" t="s">
        <v>132</v>
      </c>
      <c r="H172" s="11" t="s">
        <v>85</v>
      </c>
      <c r="I172" s="102" t="s">
        <v>47</v>
      </c>
      <c r="J172" s="40">
        <f t="shared" si="68"/>
        <v>990000</v>
      </c>
      <c r="K172" s="97">
        <f t="shared" si="68"/>
        <v>0</v>
      </c>
      <c r="L172" s="104">
        <f t="shared" si="68"/>
        <v>0</v>
      </c>
      <c r="M172" s="104">
        <f t="shared" si="68"/>
        <v>0</v>
      </c>
      <c r="N172" s="104">
        <f t="shared" si="68"/>
        <v>0</v>
      </c>
      <c r="O172" s="104">
        <f t="shared" si="68"/>
        <v>1700000</v>
      </c>
      <c r="P172" s="104">
        <f t="shared" si="68"/>
        <v>0</v>
      </c>
      <c r="Q172" s="104">
        <f t="shared" si="68"/>
        <v>593887.29</v>
      </c>
      <c r="R172" s="104">
        <f t="shared" si="68"/>
        <v>593887.29</v>
      </c>
      <c r="S172" s="104">
        <f t="shared" si="68"/>
        <v>1700000</v>
      </c>
      <c r="T172" s="104">
        <f t="shared" si="68"/>
        <v>1700000</v>
      </c>
      <c r="U172" s="104">
        <f t="shared" si="68"/>
        <v>0</v>
      </c>
      <c r="V172" s="104">
        <f t="shared" si="68"/>
        <v>0</v>
      </c>
      <c r="W172" s="104">
        <f t="shared" si="68"/>
        <v>1700000</v>
      </c>
      <c r="X172" s="104">
        <f t="shared" si="68"/>
        <v>1700000</v>
      </c>
      <c r="Y172" s="104">
        <f t="shared" si="68"/>
        <v>0</v>
      </c>
      <c r="Z172" s="104">
        <f t="shared" si="69"/>
        <v>1700000</v>
      </c>
    </row>
    <row r="173" spans="1:26" ht="25.5" x14ac:dyDescent="0.2">
      <c r="A173" s="193"/>
      <c r="B173" s="100" t="s">
        <v>48</v>
      </c>
      <c r="C173" s="34" t="s">
        <v>65</v>
      </c>
      <c r="D173" s="10" t="s">
        <v>83</v>
      </c>
      <c r="E173" s="10" t="s">
        <v>83</v>
      </c>
      <c r="F173" s="10" t="s">
        <v>83</v>
      </c>
      <c r="G173" s="10" t="s">
        <v>132</v>
      </c>
      <c r="H173" s="11" t="s">
        <v>85</v>
      </c>
      <c r="I173" s="102" t="s">
        <v>49</v>
      </c>
      <c r="J173" s="40">
        <v>990000</v>
      </c>
      <c r="K173" s="97">
        <v>0</v>
      </c>
      <c r="L173" s="104">
        <v>0</v>
      </c>
      <c r="M173" s="104">
        <v>0</v>
      </c>
      <c r="N173" s="104">
        <v>0</v>
      </c>
      <c r="O173" s="104">
        <v>1700000</v>
      </c>
      <c r="P173" s="104">
        <v>0</v>
      </c>
      <c r="Q173" s="104">
        <v>593887.29</v>
      </c>
      <c r="R173" s="104">
        <f>Q173</f>
        <v>593887.29</v>
      </c>
      <c r="S173" s="104">
        <v>1700000</v>
      </c>
      <c r="T173" s="104">
        <v>1700000</v>
      </c>
      <c r="U173" s="104">
        <v>0</v>
      </c>
      <c r="V173" s="104">
        <v>0</v>
      </c>
      <c r="W173" s="104">
        <v>1700000</v>
      </c>
      <c r="X173" s="104">
        <v>1700000</v>
      </c>
      <c r="Y173" s="104">
        <v>0</v>
      </c>
      <c r="Z173" s="104">
        <v>1700000</v>
      </c>
    </row>
    <row r="174" spans="1:26" ht="8.25" customHeight="1" x14ac:dyDescent="0.2">
      <c r="A174" s="193"/>
      <c r="B174" s="169"/>
      <c r="C174" s="194"/>
      <c r="D174" s="49"/>
      <c r="E174" s="49"/>
      <c r="F174" s="49"/>
      <c r="G174" s="49"/>
      <c r="H174" s="195"/>
      <c r="I174" s="196"/>
      <c r="J174" s="177"/>
      <c r="K174" s="153"/>
      <c r="L174" s="153"/>
      <c r="M174" s="153"/>
      <c r="N174" s="153"/>
      <c r="O174" s="154"/>
      <c r="P174" s="154"/>
      <c r="Q174" s="153"/>
      <c r="R174" s="153"/>
      <c r="S174" s="154"/>
      <c r="T174" s="155"/>
      <c r="U174" s="155"/>
      <c r="V174" s="154"/>
      <c r="W174" s="154"/>
      <c r="X174" s="155"/>
      <c r="Y174" s="155"/>
      <c r="Z174" s="155"/>
    </row>
    <row r="175" spans="1:26" s="94" customFormat="1" ht="56.25" customHeight="1" x14ac:dyDescent="0.2">
      <c r="A175" s="190"/>
      <c r="B175" s="86" t="s">
        <v>227</v>
      </c>
      <c r="C175" s="197" t="s">
        <v>68</v>
      </c>
      <c r="D175" s="142" t="s">
        <v>83</v>
      </c>
      <c r="E175" s="142" t="s">
        <v>83</v>
      </c>
      <c r="F175" s="142" t="s">
        <v>83</v>
      </c>
      <c r="G175" s="142" t="s">
        <v>84</v>
      </c>
      <c r="H175" s="130" t="s">
        <v>83</v>
      </c>
      <c r="I175" s="192"/>
      <c r="J175" s="143">
        <f t="shared" ref="J175:N177" si="70">J176</f>
        <v>540000</v>
      </c>
      <c r="K175" s="144">
        <f t="shared" si="70"/>
        <v>0</v>
      </c>
      <c r="L175" s="144">
        <f t="shared" si="70"/>
        <v>0</v>
      </c>
      <c r="M175" s="144">
        <f t="shared" si="70"/>
        <v>0</v>
      </c>
      <c r="N175" s="144">
        <f t="shared" si="70"/>
        <v>0</v>
      </c>
      <c r="O175" s="145">
        <f t="shared" ref="O175:Z177" si="71">O176</f>
        <v>720000</v>
      </c>
      <c r="P175" s="145">
        <f t="shared" si="71"/>
        <v>0</v>
      </c>
      <c r="Q175" s="144">
        <f t="shared" si="71"/>
        <v>3349713.18</v>
      </c>
      <c r="R175" s="144">
        <f t="shared" si="71"/>
        <v>3349713.18</v>
      </c>
      <c r="S175" s="145">
        <f t="shared" si="71"/>
        <v>720000</v>
      </c>
      <c r="T175" s="146">
        <f t="shared" si="71"/>
        <v>720000</v>
      </c>
      <c r="U175" s="146">
        <f t="shared" si="71"/>
        <v>0</v>
      </c>
      <c r="V175" s="145">
        <f t="shared" si="71"/>
        <v>0</v>
      </c>
      <c r="W175" s="145">
        <f t="shared" si="71"/>
        <v>720000</v>
      </c>
      <c r="X175" s="146">
        <f t="shared" si="71"/>
        <v>720000</v>
      </c>
      <c r="Y175" s="146">
        <f t="shared" si="71"/>
        <v>0</v>
      </c>
      <c r="Z175" s="146">
        <f t="shared" si="71"/>
        <v>720000</v>
      </c>
    </row>
    <row r="176" spans="1:26" ht="60.75" customHeight="1" x14ac:dyDescent="0.2">
      <c r="A176" s="193"/>
      <c r="B176" s="95" t="s">
        <v>218</v>
      </c>
      <c r="C176" s="34" t="s">
        <v>68</v>
      </c>
      <c r="D176" s="10" t="s">
        <v>83</v>
      </c>
      <c r="E176" s="10" t="s">
        <v>83</v>
      </c>
      <c r="F176" s="10" t="s">
        <v>83</v>
      </c>
      <c r="G176" s="10" t="s">
        <v>142</v>
      </c>
      <c r="H176" s="11" t="s">
        <v>217</v>
      </c>
      <c r="I176" s="102"/>
      <c r="J176" s="40">
        <f t="shared" si="70"/>
        <v>540000</v>
      </c>
      <c r="K176" s="97">
        <f t="shared" si="70"/>
        <v>0</v>
      </c>
      <c r="L176" s="97">
        <f t="shared" si="70"/>
        <v>0</v>
      </c>
      <c r="M176" s="97">
        <f t="shared" si="70"/>
        <v>0</v>
      </c>
      <c r="N176" s="97">
        <f t="shared" si="70"/>
        <v>0</v>
      </c>
      <c r="O176" s="98">
        <f t="shared" si="71"/>
        <v>720000</v>
      </c>
      <c r="P176" s="98">
        <f t="shared" si="71"/>
        <v>0</v>
      </c>
      <c r="Q176" s="97">
        <f t="shared" si="71"/>
        <v>3349713.18</v>
      </c>
      <c r="R176" s="97">
        <f t="shared" si="71"/>
        <v>3349713.18</v>
      </c>
      <c r="S176" s="98">
        <f t="shared" si="71"/>
        <v>720000</v>
      </c>
      <c r="T176" s="99">
        <f t="shared" si="71"/>
        <v>720000</v>
      </c>
      <c r="U176" s="99">
        <f t="shared" si="71"/>
        <v>0</v>
      </c>
      <c r="V176" s="98">
        <f t="shared" si="71"/>
        <v>0</v>
      </c>
      <c r="W176" s="98">
        <f t="shared" si="71"/>
        <v>720000</v>
      </c>
      <c r="X176" s="99">
        <f t="shared" si="71"/>
        <v>720000</v>
      </c>
      <c r="Y176" s="99">
        <f t="shared" si="71"/>
        <v>0</v>
      </c>
      <c r="Z176" s="99">
        <f t="shared" si="71"/>
        <v>720000</v>
      </c>
    </row>
    <row r="177" spans="1:26" x14ac:dyDescent="0.2">
      <c r="A177" s="193"/>
      <c r="B177" s="100" t="s">
        <v>46</v>
      </c>
      <c r="C177" s="34" t="s">
        <v>68</v>
      </c>
      <c r="D177" s="10" t="s">
        <v>83</v>
      </c>
      <c r="E177" s="10" t="s">
        <v>83</v>
      </c>
      <c r="F177" s="10" t="s">
        <v>83</v>
      </c>
      <c r="G177" s="10" t="s">
        <v>142</v>
      </c>
      <c r="H177" s="11" t="s">
        <v>217</v>
      </c>
      <c r="I177" s="102" t="s">
        <v>47</v>
      </c>
      <c r="J177" s="40">
        <f t="shared" si="70"/>
        <v>540000</v>
      </c>
      <c r="K177" s="97">
        <f t="shared" si="70"/>
        <v>0</v>
      </c>
      <c r="L177" s="104">
        <f t="shared" si="70"/>
        <v>0</v>
      </c>
      <c r="M177" s="104">
        <f t="shared" si="70"/>
        <v>0</v>
      </c>
      <c r="N177" s="104">
        <f t="shared" si="70"/>
        <v>0</v>
      </c>
      <c r="O177" s="104">
        <f t="shared" si="71"/>
        <v>720000</v>
      </c>
      <c r="P177" s="104">
        <f t="shared" si="71"/>
        <v>0</v>
      </c>
      <c r="Q177" s="104">
        <f t="shared" si="71"/>
        <v>3349713.18</v>
      </c>
      <c r="R177" s="104">
        <f t="shared" si="71"/>
        <v>3349713.18</v>
      </c>
      <c r="S177" s="104">
        <f t="shared" si="71"/>
        <v>720000</v>
      </c>
      <c r="T177" s="104">
        <f t="shared" si="71"/>
        <v>720000</v>
      </c>
      <c r="U177" s="104">
        <f t="shared" si="71"/>
        <v>0</v>
      </c>
      <c r="V177" s="104">
        <f t="shared" si="71"/>
        <v>0</v>
      </c>
      <c r="W177" s="104">
        <f t="shared" si="71"/>
        <v>720000</v>
      </c>
      <c r="X177" s="104">
        <f t="shared" si="71"/>
        <v>720000</v>
      </c>
      <c r="Y177" s="104">
        <f t="shared" si="71"/>
        <v>0</v>
      </c>
      <c r="Z177" s="104">
        <f t="shared" si="71"/>
        <v>720000</v>
      </c>
    </row>
    <row r="178" spans="1:26" ht="25.5" x14ac:dyDescent="0.2">
      <c r="A178" s="193"/>
      <c r="B178" s="100" t="s">
        <v>48</v>
      </c>
      <c r="C178" s="34" t="s">
        <v>68</v>
      </c>
      <c r="D178" s="10" t="s">
        <v>83</v>
      </c>
      <c r="E178" s="10" t="s">
        <v>83</v>
      </c>
      <c r="F178" s="10" t="s">
        <v>83</v>
      </c>
      <c r="G178" s="10" t="s">
        <v>142</v>
      </c>
      <c r="H178" s="11" t="s">
        <v>217</v>
      </c>
      <c r="I178" s="102" t="s">
        <v>49</v>
      </c>
      <c r="J178" s="40">
        <v>540000</v>
      </c>
      <c r="K178" s="97">
        <v>0</v>
      </c>
      <c r="L178" s="104">
        <v>0</v>
      </c>
      <c r="M178" s="104">
        <v>0</v>
      </c>
      <c r="N178" s="104">
        <v>0</v>
      </c>
      <c r="O178" s="104">
        <v>720000</v>
      </c>
      <c r="P178" s="104">
        <v>0</v>
      </c>
      <c r="Q178" s="104">
        <v>3349713.18</v>
      </c>
      <c r="R178" s="104">
        <f>Q178</f>
        <v>3349713.18</v>
      </c>
      <c r="S178" s="104">
        <v>720000</v>
      </c>
      <c r="T178" s="104">
        <v>720000</v>
      </c>
      <c r="U178" s="104">
        <v>0</v>
      </c>
      <c r="V178" s="104">
        <v>0</v>
      </c>
      <c r="W178" s="104">
        <v>720000</v>
      </c>
      <c r="X178" s="104">
        <v>720000</v>
      </c>
      <c r="Y178" s="104">
        <v>0</v>
      </c>
      <c r="Z178" s="104">
        <v>720000</v>
      </c>
    </row>
    <row r="179" spans="1:26" ht="5.25" customHeight="1" x14ac:dyDescent="0.2">
      <c r="A179" s="193"/>
      <c r="B179" s="169"/>
      <c r="C179" s="47"/>
      <c r="D179" s="26"/>
      <c r="E179" s="26"/>
      <c r="F179" s="26"/>
      <c r="G179" s="26"/>
      <c r="H179" s="28"/>
      <c r="I179" s="196"/>
      <c r="J179" s="177"/>
      <c r="K179" s="153"/>
      <c r="L179" s="153"/>
      <c r="M179" s="153"/>
      <c r="N179" s="153"/>
      <c r="O179" s="154"/>
      <c r="P179" s="154"/>
      <c r="Q179" s="153"/>
      <c r="R179" s="153"/>
      <c r="S179" s="154"/>
      <c r="T179" s="155"/>
      <c r="U179" s="155"/>
      <c r="V179" s="154"/>
      <c r="W179" s="154"/>
      <c r="X179" s="155"/>
      <c r="Y179" s="155"/>
      <c r="Z179" s="155"/>
    </row>
    <row r="180" spans="1:26" ht="7.5" customHeight="1" x14ac:dyDescent="0.2">
      <c r="A180" s="193"/>
      <c r="B180" s="100"/>
      <c r="C180" s="39"/>
      <c r="D180" s="16"/>
      <c r="E180" s="16"/>
      <c r="F180" s="16"/>
      <c r="G180" s="16"/>
      <c r="H180" s="198"/>
      <c r="I180" s="102"/>
      <c r="J180" s="199"/>
      <c r="K180" s="200"/>
      <c r="L180" s="200"/>
      <c r="M180" s="200"/>
      <c r="N180" s="200"/>
      <c r="O180" s="201"/>
      <c r="P180" s="201"/>
      <c r="Q180" s="200"/>
      <c r="R180" s="200"/>
      <c r="S180" s="201"/>
      <c r="T180" s="202"/>
      <c r="U180" s="202"/>
      <c r="V180" s="201"/>
      <c r="W180" s="201"/>
      <c r="X180" s="202"/>
      <c r="Y180" s="202"/>
      <c r="Z180" s="202"/>
    </row>
    <row r="181" spans="1:26" s="94" customFormat="1" ht="47.25" x14ac:dyDescent="0.2">
      <c r="A181" s="190"/>
      <c r="B181" s="86" t="s">
        <v>226</v>
      </c>
      <c r="C181" s="191" t="s">
        <v>69</v>
      </c>
      <c r="D181" s="115" t="s">
        <v>83</v>
      </c>
      <c r="E181" s="115" t="s">
        <v>83</v>
      </c>
      <c r="F181" s="115" t="s">
        <v>83</v>
      </c>
      <c r="G181" s="115" t="s">
        <v>84</v>
      </c>
      <c r="H181" s="116" t="s">
        <v>83</v>
      </c>
      <c r="I181" s="192"/>
      <c r="J181" s="83">
        <f t="shared" ref="J181:Z181" si="72">J182</f>
        <v>1584000</v>
      </c>
      <c r="K181" s="84">
        <f t="shared" si="72"/>
        <v>0</v>
      </c>
      <c r="L181" s="84">
        <f t="shared" si="72"/>
        <v>0</v>
      </c>
      <c r="M181" s="84">
        <f t="shared" si="72"/>
        <v>0</v>
      </c>
      <c r="N181" s="84">
        <f t="shared" si="72"/>
        <v>0</v>
      </c>
      <c r="O181" s="85">
        <f t="shared" si="72"/>
        <v>1573000</v>
      </c>
      <c r="P181" s="85">
        <f t="shared" si="72"/>
        <v>0</v>
      </c>
      <c r="Q181" s="84">
        <f t="shared" si="72"/>
        <v>0</v>
      </c>
      <c r="R181" s="84">
        <f t="shared" si="72"/>
        <v>0</v>
      </c>
      <c r="S181" s="85">
        <f t="shared" si="72"/>
        <v>1573000</v>
      </c>
      <c r="T181" s="91">
        <f t="shared" si="72"/>
        <v>1573000</v>
      </c>
      <c r="U181" s="91">
        <f t="shared" si="72"/>
        <v>0</v>
      </c>
      <c r="V181" s="85">
        <f t="shared" si="72"/>
        <v>0</v>
      </c>
      <c r="W181" s="85">
        <f t="shared" si="72"/>
        <v>1573000</v>
      </c>
      <c r="X181" s="91">
        <f t="shared" si="72"/>
        <v>1573000</v>
      </c>
      <c r="Y181" s="91">
        <f t="shared" si="72"/>
        <v>0</v>
      </c>
      <c r="Z181" s="91">
        <f t="shared" si="72"/>
        <v>1573000</v>
      </c>
    </row>
    <row r="182" spans="1:26" x14ac:dyDescent="0.2">
      <c r="A182" s="193"/>
      <c r="B182" s="100" t="s">
        <v>86</v>
      </c>
      <c r="C182" s="39" t="s">
        <v>69</v>
      </c>
      <c r="D182" s="16" t="s">
        <v>83</v>
      </c>
      <c r="E182" s="16" t="s">
        <v>83</v>
      </c>
      <c r="F182" s="16" t="s">
        <v>83</v>
      </c>
      <c r="G182" s="16" t="s">
        <v>87</v>
      </c>
      <c r="H182" s="11" t="s">
        <v>83</v>
      </c>
      <c r="I182" s="102"/>
      <c r="J182" s="40">
        <f t="shared" ref="J182:X182" si="73">J185+J183</f>
        <v>1584000</v>
      </c>
      <c r="K182" s="97">
        <f t="shared" si="73"/>
        <v>0</v>
      </c>
      <c r="L182" s="97">
        <f t="shared" si="73"/>
        <v>0</v>
      </c>
      <c r="M182" s="97">
        <f t="shared" si="73"/>
        <v>0</v>
      </c>
      <c r="N182" s="97">
        <f t="shared" si="73"/>
        <v>0</v>
      </c>
      <c r="O182" s="98">
        <f t="shared" si="73"/>
        <v>1573000</v>
      </c>
      <c r="P182" s="98">
        <f t="shared" si="73"/>
        <v>0</v>
      </c>
      <c r="Q182" s="97">
        <f>Q185+Q183</f>
        <v>0</v>
      </c>
      <c r="R182" s="97">
        <f>R185+R183</f>
        <v>0</v>
      </c>
      <c r="S182" s="98">
        <f t="shared" si="73"/>
        <v>1573000</v>
      </c>
      <c r="T182" s="99">
        <f t="shared" si="73"/>
        <v>1573000</v>
      </c>
      <c r="U182" s="99">
        <f t="shared" si="73"/>
        <v>0</v>
      </c>
      <c r="V182" s="98">
        <f>V185+V183</f>
        <v>0</v>
      </c>
      <c r="W182" s="98">
        <f>W185+W183</f>
        <v>1573000</v>
      </c>
      <c r="X182" s="99">
        <f t="shared" si="73"/>
        <v>1573000</v>
      </c>
      <c r="Y182" s="99">
        <f>Y185+Y183</f>
        <v>0</v>
      </c>
      <c r="Z182" s="99">
        <f>Z185+Z183</f>
        <v>1573000</v>
      </c>
    </row>
    <row r="183" spans="1:26" ht="25.5" x14ac:dyDescent="0.2">
      <c r="A183" s="193"/>
      <c r="B183" s="100" t="s">
        <v>42</v>
      </c>
      <c r="C183" s="39" t="s">
        <v>69</v>
      </c>
      <c r="D183" s="16" t="s">
        <v>83</v>
      </c>
      <c r="E183" s="16" t="s">
        <v>83</v>
      </c>
      <c r="F183" s="16" t="s">
        <v>83</v>
      </c>
      <c r="G183" s="16" t="s">
        <v>87</v>
      </c>
      <c r="H183" s="11" t="s">
        <v>83</v>
      </c>
      <c r="I183" s="102" t="s">
        <v>43</v>
      </c>
      <c r="J183" s="40">
        <f t="shared" ref="J183:Z183" si="74">J184</f>
        <v>400000</v>
      </c>
      <c r="K183" s="97">
        <f t="shared" si="74"/>
        <v>0</v>
      </c>
      <c r="L183" s="104">
        <f t="shared" si="74"/>
        <v>0</v>
      </c>
      <c r="M183" s="104">
        <f t="shared" si="74"/>
        <v>0</v>
      </c>
      <c r="N183" s="104">
        <f t="shared" si="74"/>
        <v>0</v>
      </c>
      <c r="O183" s="104">
        <f t="shared" si="74"/>
        <v>23000</v>
      </c>
      <c r="P183" s="104">
        <f t="shared" si="74"/>
        <v>0</v>
      </c>
      <c r="Q183" s="104">
        <f t="shared" si="74"/>
        <v>0</v>
      </c>
      <c r="R183" s="104">
        <f t="shared" si="74"/>
        <v>0</v>
      </c>
      <c r="S183" s="104">
        <f t="shared" si="74"/>
        <v>23000</v>
      </c>
      <c r="T183" s="104">
        <f t="shared" si="74"/>
        <v>23000</v>
      </c>
      <c r="U183" s="104">
        <f t="shared" si="74"/>
        <v>0</v>
      </c>
      <c r="V183" s="104">
        <f t="shared" si="74"/>
        <v>0</v>
      </c>
      <c r="W183" s="104">
        <f t="shared" si="74"/>
        <v>23000</v>
      </c>
      <c r="X183" s="104">
        <f t="shared" si="74"/>
        <v>23000</v>
      </c>
      <c r="Y183" s="104">
        <f t="shared" si="74"/>
        <v>0</v>
      </c>
      <c r="Z183" s="104">
        <f t="shared" si="74"/>
        <v>23000</v>
      </c>
    </row>
    <row r="184" spans="1:26" ht="25.5" x14ac:dyDescent="0.2">
      <c r="A184" s="193"/>
      <c r="B184" s="100" t="s">
        <v>44</v>
      </c>
      <c r="C184" s="39" t="s">
        <v>69</v>
      </c>
      <c r="D184" s="16" t="s">
        <v>83</v>
      </c>
      <c r="E184" s="16" t="s">
        <v>83</v>
      </c>
      <c r="F184" s="16" t="s">
        <v>83</v>
      </c>
      <c r="G184" s="16" t="s">
        <v>87</v>
      </c>
      <c r="H184" s="11" t="s">
        <v>83</v>
      </c>
      <c r="I184" s="102" t="s">
        <v>45</v>
      </c>
      <c r="J184" s="40">
        <v>400000</v>
      </c>
      <c r="K184" s="97">
        <v>0</v>
      </c>
      <c r="L184" s="104">
        <v>0</v>
      </c>
      <c r="M184" s="104">
        <v>0</v>
      </c>
      <c r="N184" s="104">
        <v>0</v>
      </c>
      <c r="O184" s="104">
        <v>23000</v>
      </c>
      <c r="P184" s="104">
        <v>0</v>
      </c>
      <c r="Q184" s="104">
        <v>0</v>
      </c>
      <c r="R184" s="104">
        <v>0</v>
      </c>
      <c r="S184" s="104">
        <v>23000</v>
      </c>
      <c r="T184" s="104">
        <v>23000</v>
      </c>
      <c r="U184" s="104">
        <v>0</v>
      </c>
      <c r="V184" s="104">
        <v>0</v>
      </c>
      <c r="W184" s="104">
        <v>23000</v>
      </c>
      <c r="X184" s="104">
        <v>23000</v>
      </c>
      <c r="Y184" s="104">
        <v>0</v>
      </c>
      <c r="Z184" s="104">
        <v>23000</v>
      </c>
    </row>
    <row r="185" spans="1:26" x14ac:dyDescent="0.2">
      <c r="A185" s="193"/>
      <c r="B185" s="100" t="s">
        <v>52</v>
      </c>
      <c r="C185" s="203" t="s">
        <v>69</v>
      </c>
      <c r="D185" s="17" t="s">
        <v>83</v>
      </c>
      <c r="E185" s="16" t="s">
        <v>83</v>
      </c>
      <c r="F185" s="16" t="s">
        <v>83</v>
      </c>
      <c r="G185" s="18" t="s">
        <v>87</v>
      </c>
      <c r="H185" s="11" t="s">
        <v>83</v>
      </c>
      <c r="I185" s="96" t="s">
        <v>53</v>
      </c>
      <c r="J185" s="40">
        <f t="shared" ref="J185:Z185" si="75">J186</f>
        <v>1184000</v>
      </c>
      <c r="K185" s="97">
        <f t="shared" si="75"/>
        <v>0</v>
      </c>
      <c r="L185" s="104">
        <f t="shared" si="75"/>
        <v>0</v>
      </c>
      <c r="M185" s="104">
        <f t="shared" si="75"/>
        <v>0</v>
      </c>
      <c r="N185" s="104">
        <f t="shared" si="75"/>
        <v>0</v>
      </c>
      <c r="O185" s="104">
        <f t="shared" si="75"/>
        <v>1550000</v>
      </c>
      <c r="P185" s="104">
        <f t="shared" si="75"/>
        <v>0</v>
      </c>
      <c r="Q185" s="104">
        <f t="shared" si="75"/>
        <v>0</v>
      </c>
      <c r="R185" s="104">
        <f t="shared" si="75"/>
        <v>0</v>
      </c>
      <c r="S185" s="104">
        <f t="shared" si="75"/>
        <v>1550000</v>
      </c>
      <c r="T185" s="104">
        <f t="shared" si="75"/>
        <v>1550000</v>
      </c>
      <c r="U185" s="104">
        <f t="shared" si="75"/>
        <v>0</v>
      </c>
      <c r="V185" s="104">
        <f t="shared" si="75"/>
        <v>0</v>
      </c>
      <c r="W185" s="104">
        <f t="shared" si="75"/>
        <v>1550000</v>
      </c>
      <c r="X185" s="104">
        <f t="shared" si="75"/>
        <v>1550000</v>
      </c>
      <c r="Y185" s="104">
        <f t="shared" si="75"/>
        <v>0</v>
      </c>
      <c r="Z185" s="104">
        <f t="shared" si="75"/>
        <v>1550000</v>
      </c>
    </row>
    <row r="186" spans="1:26" ht="38.25" x14ac:dyDescent="0.2">
      <c r="A186" s="193"/>
      <c r="B186" s="100" t="s">
        <v>113</v>
      </c>
      <c r="C186" s="203" t="s">
        <v>69</v>
      </c>
      <c r="D186" s="17" t="s">
        <v>83</v>
      </c>
      <c r="E186" s="16" t="s">
        <v>83</v>
      </c>
      <c r="F186" s="16" t="s">
        <v>83</v>
      </c>
      <c r="G186" s="18" t="s">
        <v>87</v>
      </c>
      <c r="H186" s="11" t="s">
        <v>83</v>
      </c>
      <c r="I186" s="96" t="s">
        <v>88</v>
      </c>
      <c r="J186" s="12">
        <v>1184000</v>
      </c>
      <c r="K186" s="103">
        <v>0</v>
      </c>
      <c r="L186" s="104">
        <v>0</v>
      </c>
      <c r="M186" s="104">
        <v>0</v>
      </c>
      <c r="N186" s="104">
        <v>0</v>
      </c>
      <c r="O186" s="104">
        <v>1550000</v>
      </c>
      <c r="P186" s="104">
        <v>0</v>
      </c>
      <c r="Q186" s="104">
        <v>0</v>
      </c>
      <c r="R186" s="104">
        <v>0</v>
      </c>
      <c r="S186" s="104">
        <v>1550000</v>
      </c>
      <c r="T186" s="104">
        <v>1550000</v>
      </c>
      <c r="U186" s="104">
        <v>0</v>
      </c>
      <c r="V186" s="104">
        <v>0</v>
      </c>
      <c r="W186" s="104">
        <v>1550000</v>
      </c>
      <c r="X186" s="104">
        <v>1550000</v>
      </c>
      <c r="Y186" s="104">
        <v>0</v>
      </c>
      <c r="Z186" s="104">
        <v>1550000</v>
      </c>
    </row>
    <row r="187" spans="1:26" x14ac:dyDescent="0.2">
      <c r="A187" s="193"/>
      <c r="B187" s="100"/>
      <c r="C187" s="204"/>
      <c r="D187" s="205"/>
      <c r="E187" s="49"/>
      <c r="F187" s="49"/>
      <c r="G187" s="50"/>
      <c r="H187" s="28"/>
      <c r="I187" s="171"/>
      <c r="J187" s="177"/>
      <c r="K187" s="153"/>
      <c r="L187" s="153"/>
      <c r="M187" s="153"/>
      <c r="N187" s="153"/>
      <c r="O187" s="154"/>
      <c r="P187" s="154"/>
      <c r="Q187" s="153"/>
      <c r="R187" s="153"/>
      <c r="S187" s="154"/>
      <c r="T187" s="155"/>
      <c r="U187" s="155"/>
      <c r="V187" s="154"/>
      <c r="W187" s="154"/>
      <c r="X187" s="155"/>
      <c r="Y187" s="155"/>
      <c r="Z187" s="155"/>
    </row>
    <row r="188" spans="1:26" ht="7.5" customHeight="1" x14ac:dyDescent="0.2">
      <c r="A188" s="193"/>
      <c r="B188" s="262"/>
      <c r="C188" s="207"/>
      <c r="D188" s="207"/>
      <c r="E188" s="207"/>
      <c r="F188" s="207"/>
      <c r="G188" s="207"/>
      <c r="H188" s="207"/>
      <c r="I188" s="131"/>
      <c r="J188" s="199"/>
      <c r="K188" s="200"/>
      <c r="L188" s="201"/>
      <c r="M188" s="201"/>
      <c r="N188" s="201"/>
      <c r="O188" s="201"/>
      <c r="P188" s="201"/>
      <c r="Q188" s="201"/>
      <c r="R188" s="201"/>
      <c r="S188" s="201"/>
      <c r="T188" s="202"/>
      <c r="U188" s="202"/>
      <c r="V188" s="201"/>
      <c r="W188" s="201"/>
      <c r="X188" s="202"/>
      <c r="Y188" s="202"/>
      <c r="Z188" s="202"/>
    </row>
    <row r="189" spans="1:26" ht="129.75" customHeight="1" x14ac:dyDescent="0.2">
      <c r="A189" s="193"/>
      <c r="B189" s="287" t="s">
        <v>257</v>
      </c>
      <c r="C189" s="88" t="s">
        <v>70</v>
      </c>
      <c r="D189" s="88" t="s">
        <v>83</v>
      </c>
      <c r="E189" s="115" t="s">
        <v>83</v>
      </c>
      <c r="F189" s="115" t="s">
        <v>83</v>
      </c>
      <c r="G189" s="88" t="s">
        <v>84</v>
      </c>
      <c r="H189" s="118" t="s">
        <v>83</v>
      </c>
      <c r="I189" s="107"/>
      <c r="J189" s="83" t="e">
        <f>#REF!+#REF!+J193+#REF!+#REF!</f>
        <v>#REF!</v>
      </c>
      <c r="K189" s="84" t="e">
        <f>#REF!+#REF!+K193+#REF!+#REF!</f>
        <v>#REF!</v>
      </c>
      <c r="L189" s="85">
        <f>L195+L198+L190</f>
        <v>43410715.479999997</v>
      </c>
      <c r="M189" s="85">
        <f>M195+M198+M190</f>
        <v>0</v>
      </c>
      <c r="N189" s="85">
        <f>N195+N198+N190+N202+N199</f>
        <v>43410715.479999997</v>
      </c>
      <c r="O189" s="85">
        <f t="shared" ref="O189:Z189" si="76">O195+O198+O190+O202+O199</f>
        <v>148660526.49000001</v>
      </c>
      <c r="P189" s="85">
        <f t="shared" si="76"/>
        <v>0</v>
      </c>
      <c r="Q189" s="85">
        <f t="shared" si="76"/>
        <v>32154876.850000001</v>
      </c>
      <c r="R189" s="85">
        <f t="shared" si="76"/>
        <v>75565592.329999998</v>
      </c>
      <c r="S189" s="85">
        <f t="shared" si="76"/>
        <v>110457653.44</v>
      </c>
      <c r="T189" s="85">
        <f t="shared" si="76"/>
        <v>126477530.38</v>
      </c>
      <c r="U189" s="85">
        <f t="shared" si="76"/>
        <v>0</v>
      </c>
      <c r="V189" s="85">
        <f t="shared" si="76"/>
        <v>0</v>
      </c>
      <c r="W189" s="85">
        <f t="shared" si="76"/>
        <v>110457653.44</v>
      </c>
      <c r="X189" s="85">
        <f t="shared" si="76"/>
        <v>88274657.329999998</v>
      </c>
      <c r="Y189" s="85">
        <f t="shared" si="76"/>
        <v>0</v>
      </c>
      <c r="Z189" s="85">
        <f t="shared" si="76"/>
        <v>88274657.329999998</v>
      </c>
    </row>
    <row r="190" spans="1:26" ht="53.25" customHeight="1" x14ac:dyDescent="0.2">
      <c r="A190" s="193"/>
      <c r="B190" s="250" t="s">
        <v>253</v>
      </c>
      <c r="C190" s="10" t="s">
        <v>70</v>
      </c>
      <c r="D190" s="10" t="s">
        <v>83</v>
      </c>
      <c r="E190" s="10" t="s">
        <v>83</v>
      </c>
      <c r="F190" s="10" t="s">
        <v>83</v>
      </c>
      <c r="G190" s="10" t="s">
        <v>254</v>
      </c>
      <c r="H190" s="11" t="s">
        <v>83</v>
      </c>
      <c r="I190" s="102"/>
      <c r="J190" s="83"/>
      <c r="K190" s="84"/>
      <c r="L190" s="109">
        <f t="shared" ref="L190:Z191" si="77">L191</f>
        <v>0</v>
      </c>
      <c r="M190" s="109">
        <f t="shared" si="77"/>
        <v>0</v>
      </c>
      <c r="N190" s="109">
        <f t="shared" si="77"/>
        <v>0</v>
      </c>
      <c r="O190" s="109">
        <f t="shared" si="77"/>
        <v>28280553.620000001</v>
      </c>
      <c r="P190" s="109">
        <f t="shared" si="77"/>
        <v>0</v>
      </c>
      <c r="Q190" s="109">
        <f t="shared" si="77"/>
        <v>0</v>
      </c>
      <c r="R190" s="109">
        <f t="shared" si="77"/>
        <v>0</v>
      </c>
      <c r="S190" s="109">
        <f t="shared" si="77"/>
        <v>28280553.620000001</v>
      </c>
      <c r="T190" s="110">
        <f t="shared" si="77"/>
        <v>5449262</v>
      </c>
      <c r="U190" s="110">
        <f t="shared" si="77"/>
        <v>0</v>
      </c>
      <c r="V190" s="109">
        <f t="shared" si="77"/>
        <v>0</v>
      </c>
      <c r="W190" s="109">
        <f t="shared" si="77"/>
        <v>28280553.620000001</v>
      </c>
      <c r="X190" s="110">
        <f t="shared" si="77"/>
        <v>5449262</v>
      </c>
      <c r="Y190" s="110">
        <f t="shared" si="77"/>
        <v>0</v>
      </c>
      <c r="Z190" s="110">
        <f t="shared" si="77"/>
        <v>5449262</v>
      </c>
    </row>
    <row r="191" spans="1:26" ht="27" customHeight="1" x14ac:dyDescent="0.2">
      <c r="A191" s="193"/>
      <c r="B191" s="250" t="s">
        <v>42</v>
      </c>
      <c r="C191" s="10" t="s">
        <v>70</v>
      </c>
      <c r="D191" s="10" t="s">
        <v>83</v>
      </c>
      <c r="E191" s="10" t="s">
        <v>83</v>
      </c>
      <c r="F191" s="10" t="s">
        <v>83</v>
      </c>
      <c r="G191" s="10" t="s">
        <v>254</v>
      </c>
      <c r="H191" s="11" t="s">
        <v>83</v>
      </c>
      <c r="I191" s="102" t="s">
        <v>43</v>
      </c>
      <c r="J191" s="83"/>
      <c r="K191" s="84"/>
      <c r="L191" s="112">
        <f t="shared" si="77"/>
        <v>0</v>
      </c>
      <c r="M191" s="112">
        <f t="shared" si="77"/>
        <v>0</v>
      </c>
      <c r="N191" s="112">
        <f t="shared" si="77"/>
        <v>0</v>
      </c>
      <c r="O191" s="112">
        <f t="shared" si="77"/>
        <v>28280553.620000001</v>
      </c>
      <c r="P191" s="112">
        <f t="shared" si="77"/>
        <v>0</v>
      </c>
      <c r="Q191" s="112">
        <f t="shared" si="77"/>
        <v>0</v>
      </c>
      <c r="R191" s="112">
        <f t="shared" si="77"/>
        <v>0</v>
      </c>
      <c r="S191" s="112">
        <f t="shared" si="77"/>
        <v>28280553.620000001</v>
      </c>
      <c r="T191" s="112">
        <f t="shared" si="77"/>
        <v>5449262</v>
      </c>
      <c r="U191" s="112">
        <f t="shared" si="77"/>
        <v>0</v>
      </c>
      <c r="V191" s="112">
        <f t="shared" si="77"/>
        <v>0</v>
      </c>
      <c r="W191" s="112">
        <f t="shared" si="77"/>
        <v>28280553.620000001</v>
      </c>
      <c r="X191" s="112">
        <f t="shared" si="77"/>
        <v>5449262</v>
      </c>
      <c r="Y191" s="112">
        <f t="shared" si="77"/>
        <v>0</v>
      </c>
      <c r="Z191" s="112">
        <f t="shared" si="77"/>
        <v>5449262</v>
      </c>
    </row>
    <row r="192" spans="1:26" ht="43.5" customHeight="1" x14ac:dyDescent="0.2">
      <c r="A192" s="193"/>
      <c r="B192" s="250" t="s">
        <v>44</v>
      </c>
      <c r="C192" s="10" t="s">
        <v>70</v>
      </c>
      <c r="D192" s="10" t="s">
        <v>83</v>
      </c>
      <c r="E192" s="10" t="s">
        <v>83</v>
      </c>
      <c r="F192" s="10" t="s">
        <v>83</v>
      </c>
      <c r="G192" s="10" t="s">
        <v>254</v>
      </c>
      <c r="H192" s="11" t="s">
        <v>83</v>
      </c>
      <c r="I192" s="102" t="s">
        <v>45</v>
      </c>
      <c r="J192" s="83"/>
      <c r="K192" s="84"/>
      <c r="L192" s="104">
        <v>0</v>
      </c>
      <c r="M192" s="104">
        <v>0</v>
      </c>
      <c r="N192" s="104">
        <v>0</v>
      </c>
      <c r="O192" s="104">
        <f>24960378+3320175.62</f>
        <v>28280553.620000001</v>
      </c>
      <c r="P192" s="104">
        <v>0</v>
      </c>
      <c r="Q192" s="104">
        <v>0</v>
      </c>
      <c r="R192" s="104">
        <v>0</v>
      </c>
      <c r="S192" s="104">
        <f>24960378+3320175.62</f>
        <v>28280553.620000001</v>
      </c>
      <c r="T192" s="104">
        <v>5449262</v>
      </c>
      <c r="U192" s="104">
        <v>0</v>
      </c>
      <c r="V192" s="104">
        <v>0</v>
      </c>
      <c r="W192" s="104">
        <f>24960378+3320175.62</f>
        <v>28280553.620000001</v>
      </c>
      <c r="X192" s="104">
        <v>5449262</v>
      </c>
      <c r="Y192" s="104">
        <v>0</v>
      </c>
      <c r="Z192" s="104">
        <v>5449262</v>
      </c>
    </row>
    <row r="193" spans="1:26" ht="51" x14ac:dyDescent="0.2">
      <c r="A193" s="193"/>
      <c r="B193" s="250" t="s">
        <v>140</v>
      </c>
      <c r="C193" s="10" t="s">
        <v>70</v>
      </c>
      <c r="D193" s="10" t="s">
        <v>83</v>
      </c>
      <c r="E193" s="10" t="s">
        <v>83</v>
      </c>
      <c r="F193" s="10" t="s">
        <v>83</v>
      </c>
      <c r="G193" s="10" t="s">
        <v>139</v>
      </c>
      <c r="H193" s="10" t="s">
        <v>136</v>
      </c>
      <c r="I193" s="102"/>
      <c r="J193" s="108">
        <f t="shared" ref="J193:Y194" si="78">J194</f>
        <v>9008886.6799999997</v>
      </c>
      <c r="K193" s="1">
        <f t="shared" si="78"/>
        <v>0</v>
      </c>
      <c r="L193" s="109">
        <f t="shared" si="78"/>
        <v>43410715.479999997</v>
      </c>
      <c r="M193" s="109">
        <f t="shared" si="78"/>
        <v>0</v>
      </c>
      <c r="N193" s="109">
        <f t="shared" si="78"/>
        <v>43410715.479999997</v>
      </c>
      <c r="O193" s="109">
        <f t="shared" si="78"/>
        <v>43974226.770000003</v>
      </c>
      <c r="P193" s="109">
        <f t="shared" si="78"/>
        <v>0</v>
      </c>
      <c r="Q193" s="109">
        <f t="shared" si="78"/>
        <v>6180649.1900000004</v>
      </c>
      <c r="R193" s="109">
        <f t="shared" si="78"/>
        <v>49591364.669999994</v>
      </c>
      <c r="S193" s="109">
        <f t="shared" si="78"/>
        <v>43974226.770000003</v>
      </c>
      <c r="T193" s="110">
        <f t="shared" si="78"/>
        <v>44622522.280000001</v>
      </c>
      <c r="U193" s="110">
        <f t="shared" si="78"/>
        <v>0</v>
      </c>
      <c r="V193" s="109">
        <f t="shared" si="78"/>
        <v>0</v>
      </c>
      <c r="W193" s="109">
        <f t="shared" si="78"/>
        <v>43974226.770000003</v>
      </c>
      <c r="X193" s="110">
        <f t="shared" si="78"/>
        <v>44622522.280000001</v>
      </c>
      <c r="Y193" s="110">
        <f t="shared" si="78"/>
        <v>0</v>
      </c>
      <c r="Z193" s="110">
        <f>Z194</f>
        <v>44622522.280000001</v>
      </c>
    </row>
    <row r="194" spans="1:26" ht="25.5" x14ac:dyDescent="0.2">
      <c r="A194" s="193"/>
      <c r="B194" s="250" t="s">
        <v>42</v>
      </c>
      <c r="C194" s="10" t="s">
        <v>70</v>
      </c>
      <c r="D194" s="10" t="s">
        <v>83</v>
      </c>
      <c r="E194" s="10" t="s">
        <v>83</v>
      </c>
      <c r="F194" s="10" t="s">
        <v>83</v>
      </c>
      <c r="G194" s="10" t="s">
        <v>139</v>
      </c>
      <c r="H194" s="10" t="s">
        <v>136</v>
      </c>
      <c r="I194" s="102" t="s">
        <v>43</v>
      </c>
      <c r="J194" s="108">
        <f t="shared" si="78"/>
        <v>9008886.6799999997</v>
      </c>
      <c r="K194" s="1">
        <f t="shared" si="78"/>
        <v>0</v>
      </c>
      <c r="L194" s="112">
        <f t="shared" si="78"/>
        <v>43410715.479999997</v>
      </c>
      <c r="M194" s="112">
        <f t="shared" si="78"/>
        <v>0</v>
      </c>
      <c r="N194" s="112">
        <f t="shared" si="78"/>
        <v>43410715.479999997</v>
      </c>
      <c r="O194" s="112">
        <f t="shared" si="78"/>
        <v>43974226.770000003</v>
      </c>
      <c r="P194" s="112">
        <f t="shared" si="78"/>
        <v>0</v>
      </c>
      <c r="Q194" s="112">
        <f t="shared" si="78"/>
        <v>6180649.1900000004</v>
      </c>
      <c r="R194" s="112">
        <f t="shared" si="78"/>
        <v>49591364.669999994</v>
      </c>
      <c r="S194" s="112">
        <f t="shared" si="78"/>
        <v>43974226.770000003</v>
      </c>
      <c r="T194" s="112">
        <f t="shared" si="78"/>
        <v>44622522.280000001</v>
      </c>
      <c r="U194" s="112">
        <f t="shared" si="78"/>
        <v>0</v>
      </c>
      <c r="V194" s="112">
        <f t="shared" si="78"/>
        <v>0</v>
      </c>
      <c r="W194" s="112">
        <f t="shared" si="78"/>
        <v>43974226.770000003</v>
      </c>
      <c r="X194" s="112">
        <f t="shared" si="78"/>
        <v>44622522.280000001</v>
      </c>
      <c r="Y194" s="112">
        <f>Y195</f>
        <v>0</v>
      </c>
      <c r="Z194" s="112">
        <f>Z195</f>
        <v>44622522.280000001</v>
      </c>
    </row>
    <row r="195" spans="1:26" ht="25.5" x14ac:dyDescent="0.2">
      <c r="A195" s="193"/>
      <c r="B195" s="250" t="s">
        <v>44</v>
      </c>
      <c r="C195" s="10" t="s">
        <v>70</v>
      </c>
      <c r="D195" s="10" t="s">
        <v>83</v>
      </c>
      <c r="E195" s="10" t="s">
        <v>83</v>
      </c>
      <c r="F195" s="10" t="s">
        <v>83</v>
      </c>
      <c r="G195" s="10" t="s">
        <v>139</v>
      </c>
      <c r="H195" s="10" t="s">
        <v>136</v>
      </c>
      <c r="I195" s="102" t="s">
        <v>45</v>
      </c>
      <c r="J195" s="8">
        <v>9008886.6799999997</v>
      </c>
      <c r="K195" s="111">
        <v>0</v>
      </c>
      <c r="L195" s="112">
        <v>43410715.479999997</v>
      </c>
      <c r="M195" s="112">
        <v>0</v>
      </c>
      <c r="N195" s="112">
        <v>43410715.479999997</v>
      </c>
      <c r="O195" s="112">
        <v>43974226.770000003</v>
      </c>
      <c r="P195" s="112">
        <v>0</v>
      </c>
      <c r="Q195" s="112">
        <v>6180649.1900000004</v>
      </c>
      <c r="R195" s="112">
        <f>Q195+N195</f>
        <v>49591364.669999994</v>
      </c>
      <c r="S195" s="112">
        <v>43974226.770000003</v>
      </c>
      <c r="T195" s="112">
        <v>44622522.280000001</v>
      </c>
      <c r="U195" s="112">
        <v>0</v>
      </c>
      <c r="V195" s="112">
        <v>0</v>
      </c>
      <c r="W195" s="112">
        <v>43974226.770000003</v>
      </c>
      <c r="X195" s="112">
        <v>44622522.280000001</v>
      </c>
      <c r="Y195" s="112">
        <v>0</v>
      </c>
      <c r="Z195" s="112">
        <v>44622522.280000001</v>
      </c>
    </row>
    <row r="196" spans="1:26" ht="25.5" x14ac:dyDescent="0.2">
      <c r="A196" s="193"/>
      <c r="B196" s="250" t="s">
        <v>164</v>
      </c>
      <c r="C196" s="21" t="s">
        <v>70</v>
      </c>
      <c r="D196" s="21" t="s">
        <v>83</v>
      </c>
      <c r="E196" s="10" t="s">
        <v>83</v>
      </c>
      <c r="F196" s="10" t="s">
        <v>83</v>
      </c>
      <c r="G196" s="21" t="s">
        <v>165</v>
      </c>
      <c r="H196" s="10" t="s">
        <v>83</v>
      </c>
      <c r="I196" s="149"/>
      <c r="J196" s="8"/>
      <c r="K196" s="111"/>
      <c r="L196" s="112">
        <f t="shared" ref="L196:Z196" si="79">L197</f>
        <v>0</v>
      </c>
      <c r="M196" s="112">
        <f t="shared" si="79"/>
        <v>0</v>
      </c>
      <c r="N196" s="112">
        <f t="shared" si="79"/>
        <v>0</v>
      </c>
      <c r="O196" s="112">
        <f t="shared" si="79"/>
        <v>38202873.049999997</v>
      </c>
      <c r="P196" s="112">
        <f t="shared" si="79"/>
        <v>0</v>
      </c>
      <c r="Q196" s="112">
        <f t="shared" si="79"/>
        <v>3114485.99</v>
      </c>
      <c r="R196" s="112">
        <f t="shared" si="79"/>
        <v>3114485.99</v>
      </c>
      <c r="S196" s="112">
        <f t="shared" si="79"/>
        <v>38202873.049999997</v>
      </c>
      <c r="T196" s="113">
        <f t="shared" si="79"/>
        <v>38202873.049999997</v>
      </c>
      <c r="U196" s="113">
        <f t="shared" si="79"/>
        <v>0</v>
      </c>
      <c r="V196" s="112">
        <f t="shared" si="79"/>
        <v>0</v>
      </c>
      <c r="W196" s="112">
        <f t="shared" si="79"/>
        <v>38202873.049999997</v>
      </c>
      <c r="X196" s="113">
        <f t="shared" si="79"/>
        <v>38202873.049999997</v>
      </c>
      <c r="Y196" s="113">
        <f t="shared" si="79"/>
        <v>0</v>
      </c>
      <c r="Z196" s="113">
        <f t="shared" si="79"/>
        <v>38202873.049999997</v>
      </c>
    </row>
    <row r="197" spans="1:26" ht="25.5" x14ac:dyDescent="0.2">
      <c r="A197" s="193"/>
      <c r="B197" s="250" t="s">
        <v>42</v>
      </c>
      <c r="C197" s="21" t="s">
        <v>70</v>
      </c>
      <c r="D197" s="21" t="s">
        <v>83</v>
      </c>
      <c r="E197" s="10" t="s">
        <v>83</v>
      </c>
      <c r="F197" s="10" t="s">
        <v>83</v>
      </c>
      <c r="G197" s="21" t="s">
        <v>165</v>
      </c>
      <c r="H197" s="10" t="s">
        <v>83</v>
      </c>
      <c r="I197" s="149" t="s">
        <v>43</v>
      </c>
      <c r="J197" s="8"/>
      <c r="K197" s="111"/>
      <c r="L197" s="104">
        <f t="shared" ref="L197:Z197" si="80">L198</f>
        <v>0</v>
      </c>
      <c r="M197" s="104">
        <f t="shared" si="80"/>
        <v>0</v>
      </c>
      <c r="N197" s="104">
        <f t="shared" si="80"/>
        <v>0</v>
      </c>
      <c r="O197" s="104">
        <f t="shared" si="80"/>
        <v>38202873.049999997</v>
      </c>
      <c r="P197" s="104">
        <f t="shared" si="80"/>
        <v>0</v>
      </c>
      <c r="Q197" s="104">
        <f t="shared" si="80"/>
        <v>3114485.99</v>
      </c>
      <c r="R197" s="104">
        <f t="shared" si="80"/>
        <v>3114485.99</v>
      </c>
      <c r="S197" s="104">
        <f t="shared" si="80"/>
        <v>38202873.049999997</v>
      </c>
      <c r="T197" s="104">
        <f t="shared" si="80"/>
        <v>38202873.049999997</v>
      </c>
      <c r="U197" s="104">
        <f t="shared" si="80"/>
        <v>0</v>
      </c>
      <c r="V197" s="104">
        <f t="shared" si="80"/>
        <v>0</v>
      </c>
      <c r="W197" s="104">
        <f t="shared" si="80"/>
        <v>38202873.049999997</v>
      </c>
      <c r="X197" s="104">
        <f t="shared" si="80"/>
        <v>38202873.049999997</v>
      </c>
      <c r="Y197" s="104">
        <f t="shared" si="80"/>
        <v>0</v>
      </c>
      <c r="Z197" s="104">
        <f t="shared" si="80"/>
        <v>38202873.049999997</v>
      </c>
    </row>
    <row r="198" spans="1:26" ht="25.5" x14ac:dyDescent="0.2">
      <c r="A198" s="193"/>
      <c r="B198" s="250" t="s">
        <v>44</v>
      </c>
      <c r="C198" s="21" t="s">
        <v>70</v>
      </c>
      <c r="D198" s="21" t="s">
        <v>83</v>
      </c>
      <c r="E198" s="10" t="s">
        <v>83</v>
      </c>
      <c r="F198" s="10" t="s">
        <v>83</v>
      </c>
      <c r="G198" s="21" t="s">
        <v>165</v>
      </c>
      <c r="H198" s="10" t="s">
        <v>83</v>
      </c>
      <c r="I198" s="149" t="s">
        <v>45</v>
      </c>
      <c r="J198" s="8"/>
      <c r="K198" s="111"/>
      <c r="L198" s="104">
        <v>0</v>
      </c>
      <c r="M198" s="104">
        <v>0</v>
      </c>
      <c r="N198" s="104">
        <v>0</v>
      </c>
      <c r="O198" s="104">
        <v>38202873.049999997</v>
      </c>
      <c r="P198" s="104">
        <v>0</v>
      </c>
      <c r="Q198" s="104">
        <v>3114485.99</v>
      </c>
      <c r="R198" s="104">
        <f>Q198</f>
        <v>3114485.99</v>
      </c>
      <c r="S198" s="104">
        <v>38202873.049999997</v>
      </c>
      <c r="T198" s="104">
        <v>38202873.049999997</v>
      </c>
      <c r="U198" s="104">
        <v>0</v>
      </c>
      <c r="V198" s="104">
        <v>0</v>
      </c>
      <c r="W198" s="104">
        <v>38202873.049999997</v>
      </c>
      <c r="X198" s="104">
        <v>38202873.049999997</v>
      </c>
      <c r="Y198" s="104">
        <v>0</v>
      </c>
      <c r="Z198" s="104">
        <v>38202873.049999997</v>
      </c>
    </row>
    <row r="199" spans="1:26" ht="49.5" customHeight="1" x14ac:dyDescent="0.2">
      <c r="A199" s="193"/>
      <c r="B199" s="100" t="s">
        <v>298</v>
      </c>
      <c r="C199" s="20" t="s">
        <v>70</v>
      </c>
      <c r="D199" s="21" t="s">
        <v>83</v>
      </c>
      <c r="E199" s="10" t="s">
        <v>83</v>
      </c>
      <c r="F199" s="10" t="s">
        <v>83</v>
      </c>
      <c r="G199" s="21" t="s">
        <v>283</v>
      </c>
      <c r="H199" s="11" t="s">
        <v>83</v>
      </c>
      <c r="I199" s="149"/>
      <c r="J199" s="12"/>
      <c r="K199" s="13"/>
      <c r="L199" s="289">
        <f t="shared" ref="L199:Z200" si="81">L200</f>
        <v>6642350.8799999999</v>
      </c>
      <c r="M199" s="13">
        <f t="shared" si="81"/>
        <v>0</v>
      </c>
      <c r="N199" s="104">
        <f t="shared" si="81"/>
        <v>0</v>
      </c>
      <c r="O199" s="288">
        <f t="shared" si="81"/>
        <v>0</v>
      </c>
      <c r="P199" s="13">
        <f t="shared" si="81"/>
        <v>0</v>
      </c>
      <c r="Q199" s="104">
        <f t="shared" si="81"/>
        <v>8161651.6699999999</v>
      </c>
      <c r="R199" s="104">
        <f t="shared" si="81"/>
        <v>8161651.6699999999</v>
      </c>
      <c r="S199" s="104">
        <f>S200</f>
        <v>0</v>
      </c>
      <c r="T199" s="288">
        <f t="shared" si="81"/>
        <v>0</v>
      </c>
      <c r="U199" s="103"/>
      <c r="V199" s="104">
        <f>V200</f>
        <v>0</v>
      </c>
      <c r="W199" s="104">
        <f>W200</f>
        <v>0</v>
      </c>
      <c r="X199" s="104">
        <f>X200</f>
        <v>0</v>
      </c>
      <c r="Y199" s="104">
        <f>Y200</f>
        <v>0</v>
      </c>
      <c r="Z199" s="104">
        <f>Z200</f>
        <v>0</v>
      </c>
    </row>
    <row r="200" spans="1:26" ht="25.5" x14ac:dyDescent="0.2">
      <c r="A200" s="193"/>
      <c r="B200" s="100" t="s">
        <v>42</v>
      </c>
      <c r="C200" s="20" t="s">
        <v>70</v>
      </c>
      <c r="D200" s="21" t="s">
        <v>83</v>
      </c>
      <c r="E200" s="10" t="s">
        <v>83</v>
      </c>
      <c r="F200" s="10" t="s">
        <v>83</v>
      </c>
      <c r="G200" s="21" t="s">
        <v>283</v>
      </c>
      <c r="H200" s="11" t="s">
        <v>83</v>
      </c>
      <c r="I200" s="149" t="s">
        <v>43</v>
      </c>
      <c r="J200" s="12"/>
      <c r="K200" s="13"/>
      <c r="L200" s="289">
        <f t="shared" si="81"/>
        <v>6642350.8799999999</v>
      </c>
      <c r="M200" s="13">
        <f t="shared" si="81"/>
        <v>0</v>
      </c>
      <c r="N200" s="104">
        <f t="shared" si="81"/>
        <v>0</v>
      </c>
      <c r="O200" s="288">
        <f t="shared" si="81"/>
        <v>0</v>
      </c>
      <c r="P200" s="13">
        <f t="shared" si="81"/>
        <v>0</v>
      </c>
      <c r="Q200" s="104">
        <f t="shared" si="81"/>
        <v>8161651.6699999999</v>
      </c>
      <c r="R200" s="104">
        <f t="shared" si="81"/>
        <v>8161651.6699999999</v>
      </c>
      <c r="S200" s="104">
        <f t="shared" si="81"/>
        <v>0</v>
      </c>
      <c r="T200" s="288">
        <f t="shared" si="81"/>
        <v>0</v>
      </c>
      <c r="U200" s="103"/>
      <c r="V200" s="104">
        <f t="shared" si="81"/>
        <v>0</v>
      </c>
      <c r="W200" s="104">
        <f t="shared" si="81"/>
        <v>0</v>
      </c>
      <c r="X200" s="104">
        <f t="shared" si="81"/>
        <v>0</v>
      </c>
      <c r="Y200" s="104">
        <f t="shared" si="81"/>
        <v>0</v>
      </c>
      <c r="Z200" s="104">
        <f t="shared" si="81"/>
        <v>0</v>
      </c>
    </row>
    <row r="201" spans="1:26" ht="25.5" x14ac:dyDescent="0.2">
      <c r="A201" s="193"/>
      <c r="B201" s="100" t="s">
        <v>44</v>
      </c>
      <c r="C201" s="20" t="s">
        <v>70</v>
      </c>
      <c r="D201" s="21" t="s">
        <v>83</v>
      </c>
      <c r="E201" s="10" t="s">
        <v>83</v>
      </c>
      <c r="F201" s="10" t="s">
        <v>83</v>
      </c>
      <c r="G201" s="21" t="s">
        <v>283</v>
      </c>
      <c r="H201" s="11" t="s">
        <v>83</v>
      </c>
      <c r="I201" s="149" t="s">
        <v>45</v>
      </c>
      <c r="J201" s="12"/>
      <c r="K201" s="13"/>
      <c r="L201" s="289">
        <v>6642350.8799999999</v>
      </c>
      <c r="M201" s="13">
        <v>0</v>
      </c>
      <c r="N201" s="104">
        <v>0</v>
      </c>
      <c r="O201" s="288">
        <v>0</v>
      </c>
      <c r="P201" s="13">
        <v>0</v>
      </c>
      <c r="Q201" s="104">
        <v>8161651.6699999999</v>
      </c>
      <c r="R201" s="104">
        <f>Q201</f>
        <v>8161651.6699999999</v>
      </c>
      <c r="S201" s="104">
        <v>0</v>
      </c>
      <c r="T201" s="288">
        <v>0</v>
      </c>
      <c r="U201" s="103"/>
      <c r="V201" s="104">
        <v>0</v>
      </c>
      <c r="W201" s="104">
        <v>0</v>
      </c>
      <c r="X201" s="104">
        <v>0</v>
      </c>
      <c r="Y201" s="104">
        <v>0</v>
      </c>
      <c r="Z201" s="104">
        <v>0</v>
      </c>
    </row>
    <row r="202" spans="1:26" ht="38.25" x14ac:dyDescent="0.2">
      <c r="A202" s="193"/>
      <c r="B202" s="250" t="s">
        <v>244</v>
      </c>
      <c r="C202" s="21" t="s">
        <v>70</v>
      </c>
      <c r="D202" s="21" t="s">
        <v>83</v>
      </c>
      <c r="E202" s="10" t="s">
        <v>83</v>
      </c>
      <c r="F202" s="10" t="s">
        <v>83</v>
      </c>
      <c r="G202" s="10" t="s">
        <v>274</v>
      </c>
      <c r="H202" s="11" t="s">
        <v>83</v>
      </c>
      <c r="I202" s="180"/>
      <c r="J202" s="12">
        <f t="shared" ref="J202:Z203" si="82">J203</f>
        <v>9973757.5099999998</v>
      </c>
      <c r="K202" s="13">
        <f t="shared" si="82"/>
        <v>0</v>
      </c>
      <c r="L202" s="104">
        <f t="shared" si="82"/>
        <v>0</v>
      </c>
      <c r="M202" s="104">
        <f t="shared" si="82"/>
        <v>0</v>
      </c>
      <c r="N202" s="104">
        <f t="shared" si="82"/>
        <v>0</v>
      </c>
      <c r="O202" s="12">
        <f t="shared" si="82"/>
        <v>38202873.049999997</v>
      </c>
      <c r="P202" s="104">
        <f t="shared" si="82"/>
        <v>0</v>
      </c>
      <c r="Q202" s="104">
        <f t="shared" si="82"/>
        <v>14698090</v>
      </c>
      <c r="R202" s="104">
        <f t="shared" si="82"/>
        <v>14698090</v>
      </c>
      <c r="S202" s="12">
        <f t="shared" si="82"/>
        <v>0</v>
      </c>
      <c r="T202" s="104">
        <f t="shared" si="82"/>
        <v>38202873.049999997</v>
      </c>
      <c r="U202" s="103">
        <f t="shared" si="82"/>
        <v>0</v>
      </c>
      <c r="V202" s="104">
        <f t="shared" si="82"/>
        <v>0</v>
      </c>
      <c r="W202" s="12">
        <f t="shared" si="82"/>
        <v>0</v>
      </c>
      <c r="X202" s="104">
        <f t="shared" si="82"/>
        <v>0</v>
      </c>
      <c r="Y202" s="104">
        <f t="shared" si="82"/>
        <v>0</v>
      </c>
      <c r="Z202" s="104">
        <f t="shared" si="82"/>
        <v>0</v>
      </c>
    </row>
    <row r="203" spans="1:26" ht="25.5" x14ac:dyDescent="0.2">
      <c r="A203" s="193"/>
      <c r="B203" s="250" t="s">
        <v>42</v>
      </c>
      <c r="C203" s="21" t="s">
        <v>70</v>
      </c>
      <c r="D203" s="21" t="s">
        <v>83</v>
      </c>
      <c r="E203" s="10" t="s">
        <v>83</v>
      </c>
      <c r="F203" s="10" t="s">
        <v>83</v>
      </c>
      <c r="G203" s="10" t="s">
        <v>274</v>
      </c>
      <c r="H203" s="11" t="s">
        <v>83</v>
      </c>
      <c r="I203" s="180" t="s">
        <v>43</v>
      </c>
      <c r="J203" s="12">
        <f t="shared" si="82"/>
        <v>9973757.5099999998</v>
      </c>
      <c r="K203" s="13">
        <f t="shared" si="82"/>
        <v>0</v>
      </c>
      <c r="L203" s="104">
        <f t="shared" si="82"/>
        <v>0</v>
      </c>
      <c r="M203" s="104">
        <f t="shared" si="82"/>
        <v>0</v>
      </c>
      <c r="N203" s="104">
        <f t="shared" si="82"/>
        <v>0</v>
      </c>
      <c r="O203" s="12">
        <f t="shared" si="82"/>
        <v>38202873.049999997</v>
      </c>
      <c r="P203" s="104">
        <f t="shared" si="82"/>
        <v>0</v>
      </c>
      <c r="Q203" s="104">
        <f t="shared" si="82"/>
        <v>14698090</v>
      </c>
      <c r="R203" s="104">
        <f t="shared" si="82"/>
        <v>14698090</v>
      </c>
      <c r="S203" s="12">
        <f t="shared" si="82"/>
        <v>0</v>
      </c>
      <c r="T203" s="104">
        <f t="shared" si="82"/>
        <v>38202873.049999997</v>
      </c>
      <c r="U203" s="103">
        <f t="shared" si="82"/>
        <v>0</v>
      </c>
      <c r="V203" s="104">
        <f t="shared" si="82"/>
        <v>0</v>
      </c>
      <c r="W203" s="12">
        <f t="shared" si="82"/>
        <v>0</v>
      </c>
      <c r="X203" s="104">
        <f t="shared" si="82"/>
        <v>0</v>
      </c>
      <c r="Y203" s="104">
        <f t="shared" si="82"/>
        <v>0</v>
      </c>
      <c r="Z203" s="104">
        <f t="shared" si="82"/>
        <v>0</v>
      </c>
    </row>
    <row r="204" spans="1:26" ht="25.5" x14ac:dyDescent="0.2">
      <c r="A204" s="193"/>
      <c r="B204" s="271" t="s">
        <v>44</v>
      </c>
      <c r="C204" s="21" t="s">
        <v>70</v>
      </c>
      <c r="D204" s="21" t="s">
        <v>83</v>
      </c>
      <c r="E204" s="10" t="s">
        <v>83</v>
      </c>
      <c r="F204" s="10" t="s">
        <v>83</v>
      </c>
      <c r="G204" s="10" t="s">
        <v>274</v>
      </c>
      <c r="H204" s="11" t="s">
        <v>83</v>
      </c>
      <c r="I204" s="180" t="s">
        <v>45</v>
      </c>
      <c r="J204" s="12">
        <v>9973757.5099999998</v>
      </c>
      <c r="K204" s="13">
        <v>0</v>
      </c>
      <c r="L204" s="104">
        <v>0</v>
      </c>
      <c r="M204" s="104">
        <v>0</v>
      </c>
      <c r="N204" s="104">
        <v>0</v>
      </c>
      <c r="O204" s="12">
        <v>38202873.049999997</v>
      </c>
      <c r="P204" s="104">
        <v>0</v>
      </c>
      <c r="Q204" s="104">
        <f>10044440+4653650</f>
        <v>14698090</v>
      </c>
      <c r="R204" s="104">
        <f>Q204</f>
        <v>14698090</v>
      </c>
      <c r="S204" s="12">
        <v>0</v>
      </c>
      <c r="T204" s="104">
        <v>38202873.049999997</v>
      </c>
      <c r="U204" s="103">
        <v>0</v>
      </c>
      <c r="V204" s="104">
        <v>0</v>
      </c>
      <c r="W204" s="12">
        <v>0</v>
      </c>
      <c r="X204" s="104">
        <v>0</v>
      </c>
      <c r="Y204" s="104">
        <v>0</v>
      </c>
      <c r="Z204" s="104">
        <v>0</v>
      </c>
    </row>
    <row r="205" spans="1:26" x14ac:dyDescent="0.2">
      <c r="A205" s="193"/>
      <c r="B205" s="156"/>
      <c r="C205" s="157"/>
      <c r="D205" s="158"/>
      <c r="E205" s="207"/>
      <c r="F205" s="207"/>
      <c r="G205" s="159"/>
      <c r="H205" s="209"/>
      <c r="I205" s="161"/>
      <c r="J205" s="199"/>
      <c r="K205" s="200"/>
      <c r="L205" s="200"/>
      <c r="M205" s="200"/>
      <c r="N205" s="200"/>
      <c r="O205" s="201"/>
      <c r="P205" s="201"/>
      <c r="Q205" s="200"/>
      <c r="R205" s="200"/>
      <c r="S205" s="201"/>
      <c r="T205" s="202"/>
      <c r="U205" s="202"/>
      <c r="V205" s="201"/>
      <c r="W205" s="201"/>
      <c r="X205" s="202"/>
      <c r="Y205" s="202"/>
      <c r="Z205" s="202"/>
    </row>
    <row r="206" spans="1:26" ht="47.25" x14ac:dyDescent="0.2">
      <c r="A206" s="193"/>
      <c r="B206" s="86" t="s">
        <v>232</v>
      </c>
      <c r="C206" s="210" t="s">
        <v>74</v>
      </c>
      <c r="D206" s="211" t="s">
        <v>83</v>
      </c>
      <c r="E206" s="115" t="s">
        <v>83</v>
      </c>
      <c r="F206" s="115" t="s">
        <v>83</v>
      </c>
      <c r="G206" s="212" t="s">
        <v>84</v>
      </c>
      <c r="H206" s="116" t="s">
        <v>83</v>
      </c>
      <c r="I206" s="213"/>
      <c r="J206" s="83">
        <f t="shared" ref="J206:N208" si="83">J207</f>
        <v>5152900.67</v>
      </c>
      <c r="K206" s="84">
        <f t="shared" si="83"/>
        <v>0</v>
      </c>
      <c r="L206" s="84">
        <f t="shared" ref="L206:Z206" si="84">L207</f>
        <v>956423</v>
      </c>
      <c r="M206" s="84">
        <f t="shared" si="84"/>
        <v>878564.53</v>
      </c>
      <c r="N206" s="84">
        <f t="shared" si="84"/>
        <v>1834987.53</v>
      </c>
      <c r="O206" s="85">
        <f t="shared" si="84"/>
        <v>10088105.18</v>
      </c>
      <c r="P206" s="85">
        <f t="shared" si="84"/>
        <v>0</v>
      </c>
      <c r="Q206" s="84">
        <f t="shared" si="84"/>
        <v>0</v>
      </c>
      <c r="R206" s="84">
        <f t="shared" si="84"/>
        <v>1834987.53</v>
      </c>
      <c r="S206" s="85">
        <f t="shared" si="84"/>
        <v>10088105.18</v>
      </c>
      <c r="T206" s="85">
        <f t="shared" si="84"/>
        <v>12780234.560000001</v>
      </c>
      <c r="U206" s="85">
        <f t="shared" si="84"/>
        <v>0</v>
      </c>
      <c r="V206" s="85">
        <f t="shared" si="84"/>
        <v>0</v>
      </c>
      <c r="W206" s="85">
        <f t="shared" si="84"/>
        <v>10088105.18</v>
      </c>
      <c r="X206" s="85">
        <f t="shared" si="84"/>
        <v>12780234.560000001</v>
      </c>
      <c r="Y206" s="85">
        <f t="shared" si="84"/>
        <v>0</v>
      </c>
      <c r="Z206" s="85">
        <f t="shared" si="84"/>
        <v>12780234.560000001</v>
      </c>
    </row>
    <row r="207" spans="1:26" ht="18" customHeight="1" x14ac:dyDescent="0.2">
      <c r="A207" s="193"/>
      <c r="B207" s="214" t="s">
        <v>144</v>
      </c>
      <c r="C207" s="203" t="s">
        <v>74</v>
      </c>
      <c r="D207" s="17" t="s">
        <v>83</v>
      </c>
      <c r="E207" s="16" t="s">
        <v>83</v>
      </c>
      <c r="F207" s="16" t="s">
        <v>83</v>
      </c>
      <c r="G207" s="18" t="s">
        <v>143</v>
      </c>
      <c r="H207" s="11" t="s">
        <v>83</v>
      </c>
      <c r="I207" s="96"/>
      <c r="J207" s="40">
        <f t="shared" si="83"/>
        <v>5152900.67</v>
      </c>
      <c r="K207" s="97">
        <f t="shared" si="83"/>
        <v>0</v>
      </c>
      <c r="L207" s="97">
        <f t="shared" si="83"/>
        <v>956423</v>
      </c>
      <c r="M207" s="97">
        <f t="shared" si="83"/>
        <v>878564.53</v>
      </c>
      <c r="N207" s="97">
        <f t="shared" si="83"/>
        <v>1834987.53</v>
      </c>
      <c r="O207" s="98">
        <f t="shared" ref="O207:Z208" si="85">O208</f>
        <v>10088105.18</v>
      </c>
      <c r="P207" s="98">
        <f t="shared" si="85"/>
        <v>0</v>
      </c>
      <c r="Q207" s="97">
        <f>Q208</f>
        <v>0</v>
      </c>
      <c r="R207" s="97">
        <f>R208</f>
        <v>1834987.53</v>
      </c>
      <c r="S207" s="98">
        <f t="shared" si="85"/>
        <v>10088105.18</v>
      </c>
      <c r="T207" s="99">
        <f t="shared" si="85"/>
        <v>12780234.560000001</v>
      </c>
      <c r="U207" s="99">
        <f t="shared" si="85"/>
        <v>0</v>
      </c>
      <c r="V207" s="98">
        <f t="shared" si="85"/>
        <v>0</v>
      </c>
      <c r="W207" s="98">
        <f t="shared" si="85"/>
        <v>10088105.18</v>
      </c>
      <c r="X207" s="99">
        <f t="shared" si="85"/>
        <v>12780234.560000001</v>
      </c>
      <c r="Y207" s="99">
        <f t="shared" si="85"/>
        <v>0</v>
      </c>
      <c r="Z207" s="99">
        <f t="shared" si="85"/>
        <v>12780234.560000001</v>
      </c>
    </row>
    <row r="208" spans="1:26" ht="28.5" customHeight="1" x14ac:dyDescent="0.2">
      <c r="A208" s="193"/>
      <c r="B208" s="147" t="s">
        <v>75</v>
      </c>
      <c r="C208" s="203" t="s">
        <v>74</v>
      </c>
      <c r="D208" s="17" t="s">
        <v>83</v>
      </c>
      <c r="E208" s="16" t="s">
        <v>83</v>
      </c>
      <c r="F208" s="16" t="s">
        <v>83</v>
      </c>
      <c r="G208" s="18" t="s">
        <v>143</v>
      </c>
      <c r="H208" s="11" t="s">
        <v>83</v>
      </c>
      <c r="I208" s="96" t="s">
        <v>43</v>
      </c>
      <c r="J208" s="40">
        <f t="shared" si="83"/>
        <v>5152900.67</v>
      </c>
      <c r="K208" s="97">
        <f t="shared" si="83"/>
        <v>0</v>
      </c>
      <c r="L208" s="97">
        <f t="shared" si="83"/>
        <v>956423</v>
      </c>
      <c r="M208" s="97">
        <f t="shared" si="83"/>
        <v>878564.53</v>
      </c>
      <c r="N208" s="97">
        <f t="shared" si="83"/>
        <v>1834987.53</v>
      </c>
      <c r="O208" s="98">
        <f t="shared" si="85"/>
        <v>10088105.18</v>
      </c>
      <c r="P208" s="98">
        <f t="shared" si="85"/>
        <v>0</v>
      </c>
      <c r="Q208" s="97">
        <f>Q209</f>
        <v>0</v>
      </c>
      <c r="R208" s="97">
        <f>R209</f>
        <v>1834987.53</v>
      </c>
      <c r="S208" s="98">
        <f t="shared" si="85"/>
        <v>10088105.18</v>
      </c>
      <c r="T208" s="99">
        <f t="shared" si="85"/>
        <v>12780234.560000001</v>
      </c>
      <c r="U208" s="99">
        <f t="shared" si="85"/>
        <v>0</v>
      </c>
      <c r="V208" s="98">
        <f t="shared" si="85"/>
        <v>0</v>
      </c>
      <c r="W208" s="98">
        <f t="shared" si="85"/>
        <v>10088105.18</v>
      </c>
      <c r="X208" s="99">
        <f t="shared" si="85"/>
        <v>12780234.560000001</v>
      </c>
      <c r="Y208" s="99">
        <f t="shared" si="85"/>
        <v>0</v>
      </c>
      <c r="Z208" s="99">
        <f t="shared" si="85"/>
        <v>12780234.560000001</v>
      </c>
    </row>
    <row r="209" spans="1:26" ht="28.5" customHeight="1" x14ac:dyDescent="0.2">
      <c r="A209" s="193"/>
      <c r="B209" s="119" t="s">
        <v>44</v>
      </c>
      <c r="C209" s="204" t="s">
        <v>74</v>
      </c>
      <c r="D209" s="205" t="s">
        <v>83</v>
      </c>
      <c r="E209" s="49" t="s">
        <v>83</v>
      </c>
      <c r="F209" s="49" t="s">
        <v>83</v>
      </c>
      <c r="G209" s="50" t="s">
        <v>143</v>
      </c>
      <c r="H209" s="28" t="s">
        <v>83</v>
      </c>
      <c r="I209" s="171" t="s">
        <v>45</v>
      </c>
      <c r="J209" s="177">
        <v>5152900.67</v>
      </c>
      <c r="K209" s="153">
        <v>0</v>
      </c>
      <c r="L209" s="216">
        <v>956423</v>
      </c>
      <c r="M209" s="216">
        <v>878564.53</v>
      </c>
      <c r="N209" s="216">
        <f>M209+L209</f>
        <v>1834987.53</v>
      </c>
      <c r="O209" s="216">
        <f>1010423+2463833.55+1798063.8+4815784.83</f>
        <v>10088105.18</v>
      </c>
      <c r="P209" s="216">
        <v>0</v>
      </c>
      <c r="Q209" s="216">
        <v>0</v>
      </c>
      <c r="R209" s="216">
        <v>1834987.53</v>
      </c>
      <c r="S209" s="216">
        <f>1010423+2463833.55+1798063.8+4815784.83</f>
        <v>10088105.18</v>
      </c>
      <c r="T209" s="216">
        <f>1010423+3580771.4+2939834.7+5249205.46</f>
        <v>12780234.560000001</v>
      </c>
      <c r="U209" s="216">
        <v>0</v>
      </c>
      <c r="V209" s="216">
        <v>0</v>
      </c>
      <c r="W209" s="216">
        <f>1010423+2463833.55+1798063.8+4815784.83</f>
        <v>10088105.18</v>
      </c>
      <c r="X209" s="216">
        <f>1010423+3580771.4+2939834.7+5249205.46</f>
        <v>12780234.560000001</v>
      </c>
      <c r="Y209" s="216">
        <v>0</v>
      </c>
      <c r="Z209" s="216">
        <f>1010423+3580771.4+2939834.7+5249205.46</f>
        <v>12780234.560000001</v>
      </c>
    </row>
    <row r="210" spans="1:26" ht="10.5" customHeight="1" x14ac:dyDescent="0.2">
      <c r="A210" s="193"/>
      <c r="B210" s="218"/>
      <c r="C210" s="157"/>
      <c r="D210" s="158"/>
      <c r="E210" s="207"/>
      <c r="F210" s="207"/>
      <c r="G210" s="159"/>
      <c r="H210" s="209"/>
      <c r="I210" s="161"/>
      <c r="J210" s="199"/>
      <c r="K210" s="200"/>
      <c r="L210" s="200"/>
      <c r="M210" s="200"/>
      <c r="N210" s="200"/>
      <c r="O210" s="201"/>
      <c r="P210" s="201"/>
      <c r="Q210" s="200"/>
      <c r="R210" s="200"/>
      <c r="S210" s="201"/>
      <c r="T210" s="202"/>
      <c r="U210" s="202"/>
      <c r="V210" s="201"/>
      <c r="W210" s="201"/>
      <c r="X210" s="202"/>
      <c r="Y210" s="202"/>
      <c r="Z210" s="202"/>
    </row>
    <row r="211" spans="1:26" s="94" customFormat="1" ht="53.25" customHeight="1" x14ac:dyDescent="0.2">
      <c r="A211" s="190"/>
      <c r="B211" s="86" t="s">
        <v>247</v>
      </c>
      <c r="C211" s="191" t="s">
        <v>72</v>
      </c>
      <c r="D211" s="115" t="s">
        <v>83</v>
      </c>
      <c r="E211" s="115" t="s">
        <v>83</v>
      </c>
      <c r="F211" s="115" t="s">
        <v>83</v>
      </c>
      <c r="G211" s="115" t="s">
        <v>84</v>
      </c>
      <c r="H211" s="116" t="s">
        <v>83</v>
      </c>
      <c r="I211" s="192"/>
      <c r="J211" s="83" t="e">
        <f>#REF!+J219</f>
        <v>#REF!</v>
      </c>
      <c r="K211" s="84" t="e">
        <f>#REF!+K219</f>
        <v>#REF!</v>
      </c>
      <c r="L211" s="84">
        <f t="shared" ref="L211:Z211" si="86">L212</f>
        <v>16967862.190000001</v>
      </c>
      <c r="M211" s="84">
        <f t="shared" si="86"/>
        <v>0</v>
      </c>
      <c r="N211" s="84">
        <f t="shared" si="86"/>
        <v>16967862.190000001</v>
      </c>
      <c r="O211" s="85">
        <f t="shared" si="86"/>
        <v>16421022.190000001</v>
      </c>
      <c r="P211" s="85">
        <f t="shared" si="86"/>
        <v>0</v>
      </c>
      <c r="Q211" s="84">
        <f t="shared" si="86"/>
        <v>0</v>
      </c>
      <c r="R211" s="84">
        <f t="shared" si="86"/>
        <v>16967862.190000001</v>
      </c>
      <c r="S211" s="85">
        <f t="shared" si="86"/>
        <v>16421022.190000001</v>
      </c>
      <c r="T211" s="85">
        <f t="shared" si="86"/>
        <v>16421022.190000001</v>
      </c>
      <c r="U211" s="85">
        <f t="shared" si="86"/>
        <v>0</v>
      </c>
      <c r="V211" s="85">
        <f t="shared" si="86"/>
        <v>0</v>
      </c>
      <c r="W211" s="85">
        <f t="shared" si="86"/>
        <v>16421022.190000001</v>
      </c>
      <c r="X211" s="85">
        <f t="shared" si="86"/>
        <v>16421022.190000001</v>
      </c>
      <c r="Y211" s="85">
        <f t="shared" si="86"/>
        <v>0</v>
      </c>
      <c r="Z211" s="85">
        <f t="shared" si="86"/>
        <v>16421022.190000001</v>
      </c>
    </row>
    <row r="212" spans="1:26" s="94" customFormat="1" ht="30.75" customHeight="1" x14ac:dyDescent="0.2">
      <c r="A212" s="190"/>
      <c r="B212" s="101" t="s">
        <v>29</v>
      </c>
      <c r="C212" s="34" t="s">
        <v>72</v>
      </c>
      <c r="D212" s="10" t="s">
        <v>83</v>
      </c>
      <c r="E212" s="16" t="s">
        <v>83</v>
      </c>
      <c r="F212" s="16" t="s">
        <v>83</v>
      </c>
      <c r="G212" s="10" t="s">
        <v>27</v>
      </c>
      <c r="H212" s="11" t="s">
        <v>83</v>
      </c>
      <c r="I212" s="149"/>
      <c r="J212" s="40">
        <f t="shared" ref="J212:M212" si="87">J213+J215</f>
        <v>11946300</v>
      </c>
      <c r="K212" s="97">
        <f t="shared" si="87"/>
        <v>0</v>
      </c>
      <c r="L212" s="97">
        <f t="shared" si="87"/>
        <v>16967862.190000001</v>
      </c>
      <c r="M212" s="97">
        <f t="shared" si="87"/>
        <v>0</v>
      </c>
      <c r="N212" s="97">
        <f>N213+N215+N217</f>
        <v>16967862.190000001</v>
      </c>
      <c r="O212" s="97">
        <f t="shared" ref="O212:Z212" si="88">O213+O215+O217</f>
        <v>16421022.190000001</v>
      </c>
      <c r="P212" s="97">
        <f t="shared" si="88"/>
        <v>0</v>
      </c>
      <c r="Q212" s="97">
        <f t="shared" si="88"/>
        <v>0</v>
      </c>
      <c r="R212" s="97">
        <f t="shared" si="88"/>
        <v>16967862.190000001</v>
      </c>
      <c r="S212" s="97">
        <f t="shared" si="88"/>
        <v>16421022.190000001</v>
      </c>
      <c r="T212" s="97">
        <f t="shared" si="88"/>
        <v>16421022.190000001</v>
      </c>
      <c r="U212" s="97">
        <f t="shared" si="88"/>
        <v>0</v>
      </c>
      <c r="V212" s="97">
        <f t="shared" si="88"/>
        <v>0</v>
      </c>
      <c r="W212" s="97">
        <f t="shared" si="88"/>
        <v>16421022.190000001</v>
      </c>
      <c r="X212" s="97">
        <f t="shared" si="88"/>
        <v>16421022.190000001</v>
      </c>
      <c r="Y212" s="97">
        <f t="shared" si="88"/>
        <v>0</v>
      </c>
      <c r="Z212" s="98">
        <f t="shared" si="88"/>
        <v>16421022.190000001</v>
      </c>
    </row>
    <row r="213" spans="1:26" s="94" customFormat="1" ht="53.25" customHeight="1" x14ac:dyDescent="0.2">
      <c r="A213" s="190"/>
      <c r="B213" s="100" t="s">
        <v>57</v>
      </c>
      <c r="C213" s="34" t="s">
        <v>72</v>
      </c>
      <c r="D213" s="10" t="s">
        <v>83</v>
      </c>
      <c r="E213" s="16" t="s">
        <v>83</v>
      </c>
      <c r="F213" s="16" t="s">
        <v>83</v>
      </c>
      <c r="G213" s="15" t="s">
        <v>27</v>
      </c>
      <c r="H213" s="11" t="s">
        <v>83</v>
      </c>
      <c r="I213" s="102">
        <v>100</v>
      </c>
      <c r="J213" s="40">
        <f t="shared" ref="J213:Z213" si="89">J214</f>
        <v>11547700</v>
      </c>
      <c r="K213" s="97">
        <f t="shared" si="89"/>
        <v>0</v>
      </c>
      <c r="L213" s="104">
        <f t="shared" si="89"/>
        <v>16032422.190000001</v>
      </c>
      <c r="M213" s="104">
        <f t="shared" si="89"/>
        <v>0</v>
      </c>
      <c r="N213" s="104">
        <f t="shared" si="89"/>
        <v>16032422.190000001</v>
      </c>
      <c r="O213" s="104">
        <f t="shared" si="89"/>
        <v>16032422.190000001</v>
      </c>
      <c r="P213" s="104">
        <f t="shared" si="89"/>
        <v>0</v>
      </c>
      <c r="Q213" s="104">
        <f t="shared" si="89"/>
        <v>0</v>
      </c>
      <c r="R213" s="104">
        <f t="shared" si="89"/>
        <v>16032422.190000001</v>
      </c>
      <c r="S213" s="104">
        <f t="shared" si="89"/>
        <v>16032422.190000001</v>
      </c>
      <c r="T213" s="104">
        <f t="shared" si="89"/>
        <v>16032422.190000001</v>
      </c>
      <c r="U213" s="104">
        <f t="shared" si="89"/>
        <v>0</v>
      </c>
      <c r="V213" s="104">
        <f t="shared" si="89"/>
        <v>0</v>
      </c>
      <c r="W213" s="104">
        <f t="shared" si="89"/>
        <v>16032422.190000001</v>
      </c>
      <c r="X213" s="104">
        <f t="shared" si="89"/>
        <v>16032422.190000001</v>
      </c>
      <c r="Y213" s="104">
        <f t="shared" si="89"/>
        <v>0</v>
      </c>
      <c r="Z213" s="104">
        <f t="shared" si="89"/>
        <v>16032422.190000001</v>
      </c>
    </row>
    <row r="214" spans="1:26" s="94" customFormat="1" ht="36" customHeight="1" x14ac:dyDescent="0.2">
      <c r="A214" s="190"/>
      <c r="B214" s="100" t="s">
        <v>51</v>
      </c>
      <c r="C214" s="34" t="s">
        <v>72</v>
      </c>
      <c r="D214" s="10" t="s">
        <v>83</v>
      </c>
      <c r="E214" s="16" t="s">
        <v>83</v>
      </c>
      <c r="F214" s="16" t="s">
        <v>83</v>
      </c>
      <c r="G214" s="15" t="s">
        <v>27</v>
      </c>
      <c r="H214" s="11" t="s">
        <v>83</v>
      </c>
      <c r="I214" s="102">
        <v>120</v>
      </c>
      <c r="J214" s="12">
        <v>11547700</v>
      </c>
      <c r="K214" s="103">
        <v>0</v>
      </c>
      <c r="L214" s="104">
        <f>16967862.19-935440</f>
        <v>16032422.190000001</v>
      </c>
      <c r="M214" s="104">
        <v>0</v>
      </c>
      <c r="N214" s="104">
        <f>16967862.19-935440</f>
        <v>16032422.190000001</v>
      </c>
      <c r="O214" s="104">
        <f>16967862.19-935440</f>
        <v>16032422.190000001</v>
      </c>
      <c r="P214" s="104">
        <v>0</v>
      </c>
      <c r="Q214" s="104">
        <v>0</v>
      </c>
      <c r="R214" s="104">
        <f>16967862.19-935440</f>
        <v>16032422.190000001</v>
      </c>
      <c r="S214" s="104">
        <f>16967862.19-935440</f>
        <v>16032422.190000001</v>
      </c>
      <c r="T214" s="104">
        <f>16967862.19-935440</f>
        <v>16032422.190000001</v>
      </c>
      <c r="U214" s="104">
        <v>0</v>
      </c>
      <c r="V214" s="104">
        <v>0</v>
      </c>
      <c r="W214" s="104">
        <f>16967862.19-935440</f>
        <v>16032422.190000001</v>
      </c>
      <c r="X214" s="104">
        <f>16967862.19-935440</f>
        <v>16032422.190000001</v>
      </c>
      <c r="Y214" s="104">
        <v>0</v>
      </c>
      <c r="Z214" s="104">
        <f>16967862.19-935440</f>
        <v>16032422.190000001</v>
      </c>
    </row>
    <row r="215" spans="1:26" s="94" customFormat="1" ht="29.25" customHeight="1" x14ac:dyDescent="0.2">
      <c r="A215" s="190"/>
      <c r="B215" s="100" t="s">
        <v>42</v>
      </c>
      <c r="C215" s="34" t="s">
        <v>72</v>
      </c>
      <c r="D215" s="10" t="s">
        <v>83</v>
      </c>
      <c r="E215" s="16" t="s">
        <v>83</v>
      </c>
      <c r="F215" s="16" t="s">
        <v>83</v>
      </c>
      <c r="G215" s="15" t="s">
        <v>27</v>
      </c>
      <c r="H215" s="11" t="s">
        <v>83</v>
      </c>
      <c r="I215" s="102">
        <v>200</v>
      </c>
      <c r="J215" s="12">
        <f t="shared" ref="J215:Z215" si="90">J216</f>
        <v>398600</v>
      </c>
      <c r="K215" s="103">
        <f t="shared" si="90"/>
        <v>0</v>
      </c>
      <c r="L215" s="104">
        <f t="shared" si="90"/>
        <v>935440</v>
      </c>
      <c r="M215" s="104">
        <f t="shared" si="90"/>
        <v>0</v>
      </c>
      <c r="N215" s="104">
        <f t="shared" si="90"/>
        <v>935440</v>
      </c>
      <c r="O215" s="104">
        <f t="shared" si="90"/>
        <v>388600</v>
      </c>
      <c r="P215" s="104">
        <f t="shared" si="90"/>
        <v>0</v>
      </c>
      <c r="Q215" s="104">
        <f t="shared" si="90"/>
        <v>-955.89</v>
      </c>
      <c r="R215" s="104">
        <f t="shared" si="90"/>
        <v>934484.11</v>
      </c>
      <c r="S215" s="104">
        <f t="shared" si="90"/>
        <v>388600</v>
      </c>
      <c r="T215" s="104">
        <f t="shared" si="90"/>
        <v>388600</v>
      </c>
      <c r="U215" s="104">
        <f t="shared" si="90"/>
        <v>0</v>
      </c>
      <c r="V215" s="104">
        <f t="shared" si="90"/>
        <v>0</v>
      </c>
      <c r="W215" s="104">
        <f t="shared" si="90"/>
        <v>388600</v>
      </c>
      <c r="X215" s="104">
        <f t="shared" si="90"/>
        <v>388600</v>
      </c>
      <c r="Y215" s="104">
        <f t="shared" si="90"/>
        <v>0</v>
      </c>
      <c r="Z215" s="104">
        <f t="shared" si="90"/>
        <v>388600</v>
      </c>
    </row>
    <row r="216" spans="1:26" s="94" customFormat="1" ht="33" customHeight="1" x14ac:dyDescent="0.2">
      <c r="A216" s="190"/>
      <c r="B216" s="100" t="s">
        <v>44</v>
      </c>
      <c r="C216" s="34" t="s">
        <v>72</v>
      </c>
      <c r="D216" s="10" t="s">
        <v>83</v>
      </c>
      <c r="E216" s="16" t="s">
        <v>83</v>
      </c>
      <c r="F216" s="16" t="s">
        <v>83</v>
      </c>
      <c r="G216" s="15" t="s">
        <v>27</v>
      </c>
      <c r="H216" s="11" t="s">
        <v>83</v>
      </c>
      <c r="I216" s="102">
        <v>240</v>
      </c>
      <c r="J216" s="12">
        <v>398600</v>
      </c>
      <c r="K216" s="103">
        <v>0</v>
      </c>
      <c r="L216" s="104">
        <v>935440</v>
      </c>
      <c r="M216" s="104">
        <v>0</v>
      </c>
      <c r="N216" s="104">
        <v>935440</v>
      </c>
      <c r="O216" s="104">
        <f>935440-546840</f>
        <v>388600</v>
      </c>
      <c r="P216" s="104">
        <v>0</v>
      </c>
      <c r="Q216" s="104">
        <v>-955.89</v>
      </c>
      <c r="R216" s="104">
        <f>Q216+N216</f>
        <v>934484.11</v>
      </c>
      <c r="S216" s="104">
        <f>935440-546840</f>
        <v>388600</v>
      </c>
      <c r="T216" s="104">
        <f>935440-546840</f>
        <v>388600</v>
      </c>
      <c r="U216" s="104">
        <v>0</v>
      </c>
      <c r="V216" s="104">
        <v>0</v>
      </c>
      <c r="W216" s="104">
        <f>935440-546840</f>
        <v>388600</v>
      </c>
      <c r="X216" s="104">
        <f>935440-546840</f>
        <v>388600</v>
      </c>
      <c r="Y216" s="104">
        <v>0</v>
      </c>
      <c r="Z216" s="104">
        <f>935440-546840</f>
        <v>388600</v>
      </c>
    </row>
    <row r="217" spans="1:26" s="94" customFormat="1" ht="33" customHeight="1" x14ac:dyDescent="0.2">
      <c r="A217" s="190"/>
      <c r="B217" s="100" t="s">
        <v>52</v>
      </c>
      <c r="C217" s="34" t="s">
        <v>72</v>
      </c>
      <c r="D217" s="10" t="s">
        <v>83</v>
      </c>
      <c r="E217" s="10" t="s">
        <v>83</v>
      </c>
      <c r="F217" s="10" t="s">
        <v>83</v>
      </c>
      <c r="G217" s="15" t="s">
        <v>27</v>
      </c>
      <c r="H217" s="11" t="s">
        <v>83</v>
      </c>
      <c r="I217" s="198" t="s">
        <v>53</v>
      </c>
      <c r="J217" s="12"/>
      <c r="K217" s="13"/>
      <c r="L217" s="104"/>
      <c r="M217" s="104"/>
      <c r="N217" s="104">
        <f>N218</f>
        <v>0</v>
      </c>
      <c r="O217" s="103"/>
      <c r="P217" s="104"/>
      <c r="Q217" s="104">
        <f>Q218</f>
        <v>955.89</v>
      </c>
      <c r="R217" s="104">
        <f>R218</f>
        <v>955.89</v>
      </c>
      <c r="S217" s="104">
        <f>S218</f>
        <v>0</v>
      </c>
      <c r="T217" s="103"/>
      <c r="U217" s="104"/>
      <c r="V217" s="104">
        <f>V218</f>
        <v>0</v>
      </c>
      <c r="W217" s="104">
        <f>W218</f>
        <v>0</v>
      </c>
      <c r="X217" s="104">
        <f>X218</f>
        <v>0</v>
      </c>
      <c r="Y217" s="104">
        <f>Y218</f>
        <v>0</v>
      </c>
      <c r="Z217" s="104">
        <f>Z218</f>
        <v>0</v>
      </c>
    </row>
    <row r="218" spans="1:26" s="94" customFormat="1" ht="33" customHeight="1" x14ac:dyDescent="0.2">
      <c r="A218" s="190"/>
      <c r="B218" s="100" t="s">
        <v>54</v>
      </c>
      <c r="C218" s="34" t="s">
        <v>72</v>
      </c>
      <c r="D218" s="10" t="s">
        <v>83</v>
      </c>
      <c r="E218" s="10" t="s">
        <v>83</v>
      </c>
      <c r="F218" s="10" t="s">
        <v>83</v>
      </c>
      <c r="G218" s="15" t="s">
        <v>27</v>
      </c>
      <c r="H218" s="11" t="s">
        <v>83</v>
      </c>
      <c r="I218" s="198" t="s">
        <v>55</v>
      </c>
      <c r="J218" s="12"/>
      <c r="K218" s="13"/>
      <c r="L218" s="104"/>
      <c r="M218" s="104"/>
      <c r="N218" s="104">
        <v>0</v>
      </c>
      <c r="O218" s="103"/>
      <c r="P218" s="104"/>
      <c r="Q218" s="104">
        <v>955.89</v>
      </c>
      <c r="R218" s="104">
        <f>Q218</f>
        <v>955.89</v>
      </c>
      <c r="S218" s="104">
        <v>0</v>
      </c>
      <c r="T218" s="103"/>
      <c r="U218" s="104"/>
      <c r="V218" s="104">
        <v>0</v>
      </c>
      <c r="W218" s="104">
        <v>0</v>
      </c>
      <c r="X218" s="104">
        <v>0</v>
      </c>
      <c r="Y218" s="104">
        <v>0</v>
      </c>
      <c r="Z218" s="104">
        <v>0</v>
      </c>
    </row>
    <row r="219" spans="1:26" s="94" customFormat="1" ht="7.5" customHeight="1" x14ac:dyDescent="0.2">
      <c r="A219" s="190"/>
      <c r="B219" s="219"/>
      <c r="C219" s="191"/>
      <c r="D219" s="115"/>
      <c r="E219" s="115"/>
      <c r="F219" s="115"/>
      <c r="G219" s="115"/>
      <c r="H219" s="116"/>
      <c r="I219" s="192"/>
      <c r="J219" s="83"/>
      <c r="K219" s="84"/>
      <c r="L219" s="85"/>
      <c r="M219" s="85"/>
      <c r="N219" s="85"/>
      <c r="O219" s="85"/>
      <c r="P219" s="85"/>
      <c r="Q219" s="85"/>
      <c r="R219" s="85"/>
      <c r="S219" s="85"/>
      <c r="T219" s="91"/>
      <c r="U219" s="91"/>
      <c r="V219" s="85"/>
      <c r="W219" s="85"/>
      <c r="X219" s="91"/>
      <c r="Y219" s="91"/>
      <c r="Z219" s="91"/>
    </row>
    <row r="220" spans="1:26" ht="7.5" customHeight="1" x14ac:dyDescent="0.2">
      <c r="A220" s="193"/>
      <c r="B220" s="262"/>
      <c r="C220" s="207"/>
      <c r="D220" s="207"/>
      <c r="E220" s="207"/>
      <c r="F220" s="207"/>
      <c r="G220" s="207"/>
      <c r="H220" s="220"/>
      <c r="I220" s="131"/>
      <c r="J220" s="199"/>
      <c r="K220" s="200"/>
      <c r="L220" s="201"/>
      <c r="M220" s="201"/>
      <c r="N220" s="201"/>
      <c r="O220" s="201"/>
      <c r="P220" s="201"/>
      <c r="Q220" s="201"/>
      <c r="R220" s="201"/>
      <c r="S220" s="201"/>
      <c r="T220" s="202"/>
      <c r="U220" s="202"/>
      <c r="V220" s="201"/>
      <c r="W220" s="201"/>
      <c r="X220" s="202"/>
      <c r="Y220" s="202"/>
      <c r="Z220" s="202"/>
    </row>
    <row r="221" spans="1:26" s="94" customFormat="1" ht="60" customHeight="1" x14ac:dyDescent="0.2">
      <c r="A221" s="190"/>
      <c r="B221" s="281" t="s">
        <v>220</v>
      </c>
      <c r="C221" s="115" t="s">
        <v>1</v>
      </c>
      <c r="D221" s="115" t="s">
        <v>83</v>
      </c>
      <c r="E221" s="115" t="s">
        <v>83</v>
      </c>
      <c r="F221" s="115" t="s">
        <v>83</v>
      </c>
      <c r="G221" s="115" t="s">
        <v>84</v>
      </c>
      <c r="H221" s="221" t="s">
        <v>83</v>
      </c>
      <c r="I221" s="192"/>
      <c r="J221" s="83" t="e">
        <f>#REF!+#REF!+#REF!+J225+J230+J237+J240+#REF!+J298+J246+J243+J280+#REF!+#REF!+#REF!+#REF!+#REF!+#REF!</f>
        <v>#REF!</v>
      </c>
      <c r="K221" s="84" t="e">
        <f>#REF!+#REF!+#REF!+K225+K230+K237+K240+#REF!+K298+K246+K243+K280+#REF!+#REF!+#REF!+#REF!+#REF!+#REF!</f>
        <v>#REF!</v>
      </c>
      <c r="L221" s="85">
        <f>L225+L230+L237+L240+L298+L246+L243+L280+L222+L262+L265+L268+L271</f>
        <v>1238893447.9400001</v>
      </c>
      <c r="M221" s="85">
        <f>M225+M230+M237+M240+M298+M246+M243+M280+M222+M262+M265+M268+M271</f>
        <v>-946787.15</v>
      </c>
      <c r="N221" s="85">
        <f>N225+N230+N237+N240+N298+N246+N243+N280+N222+N262+N265+N268+N271+N301+N274+N277+N279+N289+N283+N296+N286+N258+N292</f>
        <v>1237946660.79</v>
      </c>
      <c r="O221" s="85">
        <f t="shared" ref="O221:Z221" si="91">O225+O230+O237+O240+O298+O246+O243+O280+O222+O262+O265+O268+O271+O301+O274+O277+O279+O289+O283+O296+O286+O258+O292</f>
        <v>1344464944.29</v>
      </c>
      <c r="P221" s="85">
        <f t="shared" si="91"/>
        <v>2751777.2199999997</v>
      </c>
      <c r="Q221" s="85">
        <f t="shared" si="91"/>
        <v>18912552.59</v>
      </c>
      <c r="R221" s="85">
        <f t="shared" si="91"/>
        <v>1256859213.3800001</v>
      </c>
      <c r="S221" s="85">
        <f t="shared" si="91"/>
        <v>1312978316.1299999</v>
      </c>
      <c r="T221" s="85">
        <f t="shared" si="91"/>
        <v>1353882740.1900001</v>
      </c>
      <c r="U221" s="85">
        <f t="shared" si="91"/>
        <v>-4894230.45</v>
      </c>
      <c r="V221" s="85">
        <f t="shared" si="91"/>
        <v>4513304.16</v>
      </c>
      <c r="W221" s="85">
        <f t="shared" si="91"/>
        <v>1317491620.2900002</v>
      </c>
      <c r="X221" s="85">
        <f t="shared" si="91"/>
        <v>1319294708.0599999</v>
      </c>
      <c r="Y221" s="85">
        <f t="shared" si="91"/>
        <v>78736119.540000007</v>
      </c>
      <c r="Z221" s="85">
        <f t="shared" si="91"/>
        <v>1398030827.5999999</v>
      </c>
    </row>
    <row r="222" spans="1:26" s="94" customFormat="1" ht="103.5" customHeight="1" x14ac:dyDescent="0.2">
      <c r="A222" s="190"/>
      <c r="B222" s="250" t="s">
        <v>183</v>
      </c>
      <c r="C222" s="10" t="s">
        <v>1</v>
      </c>
      <c r="D222" s="10" t="s">
        <v>83</v>
      </c>
      <c r="E222" s="10" t="s">
        <v>83</v>
      </c>
      <c r="F222" s="10" t="s">
        <v>83</v>
      </c>
      <c r="G222" s="10" t="s">
        <v>162</v>
      </c>
      <c r="H222" s="11" t="s">
        <v>81</v>
      </c>
      <c r="I222" s="102"/>
      <c r="J222" s="40"/>
      <c r="K222" s="97"/>
      <c r="L222" s="104">
        <f t="shared" ref="L222:Z223" si="92">L223</f>
        <v>27919265</v>
      </c>
      <c r="M222" s="104">
        <f t="shared" si="92"/>
        <v>0</v>
      </c>
      <c r="N222" s="104">
        <f t="shared" si="92"/>
        <v>27919265</v>
      </c>
      <c r="O222" s="103">
        <f t="shared" si="92"/>
        <v>27919265</v>
      </c>
      <c r="P222" s="104">
        <f t="shared" si="92"/>
        <v>326610</v>
      </c>
      <c r="Q222" s="104">
        <f t="shared" si="92"/>
        <v>-27919265</v>
      </c>
      <c r="R222" s="104">
        <f t="shared" si="92"/>
        <v>0</v>
      </c>
      <c r="S222" s="105">
        <f t="shared" si="92"/>
        <v>28245875</v>
      </c>
      <c r="T222" s="104">
        <f t="shared" si="92"/>
        <v>27919265</v>
      </c>
      <c r="U222" s="103">
        <f t="shared" si="92"/>
        <v>163305</v>
      </c>
      <c r="V222" s="104">
        <f t="shared" si="92"/>
        <v>-28245875</v>
      </c>
      <c r="W222" s="105">
        <f t="shared" si="92"/>
        <v>0</v>
      </c>
      <c r="X222" s="104">
        <f t="shared" si="92"/>
        <v>28082570</v>
      </c>
      <c r="Y222" s="104">
        <f t="shared" si="92"/>
        <v>-28082570</v>
      </c>
      <c r="Z222" s="104">
        <f t="shared" si="92"/>
        <v>0</v>
      </c>
    </row>
    <row r="223" spans="1:26" s="94" customFormat="1" ht="25.5" x14ac:dyDescent="0.2">
      <c r="A223" s="190"/>
      <c r="B223" s="250" t="s">
        <v>21</v>
      </c>
      <c r="C223" s="10" t="s">
        <v>1</v>
      </c>
      <c r="D223" s="10" t="s">
        <v>83</v>
      </c>
      <c r="E223" s="10" t="s">
        <v>83</v>
      </c>
      <c r="F223" s="10" t="s">
        <v>83</v>
      </c>
      <c r="G223" s="10" t="s">
        <v>162</v>
      </c>
      <c r="H223" s="11" t="s">
        <v>81</v>
      </c>
      <c r="I223" s="102" t="s">
        <v>96</v>
      </c>
      <c r="J223" s="40"/>
      <c r="K223" s="97"/>
      <c r="L223" s="104">
        <f t="shared" si="92"/>
        <v>27919265</v>
      </c>
      <c r="M223" s="104">
        <f t="shared" si="92"/>
        <v>0</v>
      </c>
      <c r="N223" s="104">
        <f t="shared" si="92"/>
        <v>27919265</v>
      </c>
      <c r="O223" s="103">
        <f t="shared" si="92"/>
        <v>27919265</v>
      </c>
      <c r="P223" s="104">
        <f t="shared" si="92"/>
        <v>326610</v>
      </c>
      <c r="Q223" s="104">
        <f t="shared" si="92"/>
        <v>-27919265</v>
      </c>
      <c r="R223" s="104">
        <f t="shared" si="92"/>
        <v>0</v>
      </c>
      <c r="S223" s="105">
        <f t="shared" si="92"/>
        <v>28245875</v>
      </c>
      <c r="T223" s="104">
        <f t="shared" si="92"/>
        <v>27919265</v>
      </c>
      <c r="U223" s="103">
        <f t="shared" si="92"/>
        <v>163305</v>
      </c>
      <c r="V223" s="104">
        <f t="shared" si="92"/>
        <v>-28245875</v>
      </c>
      <c r="W223" s="105">
        <f t="shared" si="92"/>
        <v>0</v>
      </c>
      <c r="X223" s="104">
        <f t="shared" si="92"/>
        <v>28082570</v>
      </c>
      <c r="Y223" s="104">
        <f t="shared" si="92"/>
        <v>-28082570</v>
      </c>
      <c r="Z223" s="104">
        <f t="shared" si="92"/>
        <v>0</v>
      </c>
    </row>
    <row r="224" spans="1:26" s="94" customFormat="1" x14ac:dyDescent="0.2">
      <c r="A224" s="190"/>
      <c r="B224" s="250" t="s">
        <v>22</v>
      </c>
      <c r="C224" s="10" t="s">
        <v>1</v>
      </c>
      <c r="D224" s="10" t="s">
        <v>83</v>
      </c>
      <c r="E224" s="10" t="s">
        <v>83</v>
      </c>
      <c r="F224" s="10" t="s">
        <v>83</v>
      </c>
      <c r="G224" s="10" t="s">
        <v>162</v>
      </c>
      <c r="H224" s="11" t="s">
        <v>81</v>
      </c>
      <c r="I224" s="102" t="s">
        <v>23</v>
      </c>
      <c r="J224" s="40"/>
      <c r="K224" s="97"/>
      <c r="L224" s="104">
        <v>27919265</v>
      </c>
      <c r="M224" s="104">
        <v>0</v>
      </c>
      <c r="N224" s="104">
        <v>27919265</v>
      </c>
      <c r="O224" s="103">
        <v>27919265</v>
      </c>
      <c r="P224" s="104">
        <v>326610</v>
      </c>
      <c r="Q224" s="104">
        <f>-27919265</f>
        <v>-27919265</v>
      </c>
      <c r="R224" s="104">
        <f>Q224+N224</f>
        <v>0</v>
      </c>
      <c r="S224" s="105">
        <f>P224+O224</f>
        <v>28245875</v>
      </c>
      <c r="T224" s="104">
        <v>27919265</v>
      </c>
      <c r="U224" s="103">
        <v>163305</v>
      </c>
      <c r="V224" s="104">
        <v>-28245875</v>
      </c>
      <c r="W224" s="105">
        <f>V224+S224</f>
        <v>0</v>
      </c>
      <c r="X224" s="104">
        <f>U224+T224</f>
        <v>28082570</v>
      </c>
      <c r="Y224" s="104">
        <v>-28082570</v>
      </c>
      <c r="Z224" s="104">
        <f>Y224+X224</f>
        <v>0</v>
      </c>
    </row>
    <row r="225" spans="1:26" s="94" customFormat="1" ht="25.5" x14ac:dyDescent="0.2">
      <c r="A225" s="190"/>
      <c r="B225" s="259" t="s">
        <v>29</v>
      </c>
      <c r="C225" s="10" t="s">
        <v>1</v>
      </c>
      <c r="D225" s="10" t="s">
        <v>83</v>
      </c>
      <c r="E225" s="16" t="s">
        <v>83</v>
      </c>
      <c r="F225" s="16" t="s">
        <v>83</v>
      </c>
      <c r="G225" s="10" t="s">
        <v>27</v>
      </c>
      <c r="H225" s="11" t="s">
        <v>83</v>
      </c>
      <c r="I225" s="102"/>
      <c r="J225" s="40">
        <f t="shared" ref="J225:X225" si="93">J226+J228</f>
        <v>17051100</v>
      </c>
      <c r="K225" s="97">
        <f t="shared" si="93"/>
        <v>0</v>
      </c>
      <c r="L225" s="98">
        <f t="shared" si="93"/>
        <v>25112070.050000001</v>
      </c>
      <c r="M225" s="98">
        <f t="shared" si="93"/>
        <v>0</v>
      </c>
      <c r="N225" s="98">
        <f t="shared" si="93"/>
        <v>25112070.050000001</v>
      </c>
      <c r="O225" s="98">
        <f t="shared" si="93"/>
        <v>25112070.050000001</v>
      </c>
      <c r="P225" s="98">
        <f t="shared" si="93"/>
        <v>0</v>
      </c>
      <c r="Q225" s="98">
        <f>Q226+Q228</f>
        <v>0</v>
      </c>
      <c r="R225" s="98">
        <f>R226+R228</f>
        <v>25112070.050000001</v>
      </c>
      <c r="S225" s="98">
        <f t="shared" si="93"/>
        <v>25112070.050000001</v>
      </c>
      <c r="T225" s="99">
        <f t="shared" si="93"/>
        <v>25112070.050000001</v>
      </c>
      <c r="U225" s="99">
        <f t="shared" si="93"/>
        <v>0</v>
      </c>
      <c r="V225" s="98">
        <f>V226+V228</f>
        <v>0</v>
      </c>
      <c r="W225" s="98">
        <f>W226+W228</f>
        <v>25112070.050000001</v>
      </c>
      <c r="X225" s="99">
        <f t="shared" si="93"/>
        <v>25112070.050000001</v>
      </c>
      <c r="Y225" s="99">
        <f>Y226+Y228</f>
        <v>0</v>
      </c>
      <c r="Z225" s="99">
        <f>Z226+Z228</f>
        <v>25112070.050000001</v>
      </c>
    </row>
    <row r="226" spans="1:26" s="94" customFormat="1" ht="51" x14ac:dyDescent="0.2">
      <c r="A226" s="190"/>
      <c r="B226" s="250" t="s">
        <v>57</v>
      </c>
      <c r="C226" s="10" t="s">
        <v>1</v>
      </c>
      <c r="D226" s="10" t="s">
        <v>83</v>
      </c>
      <c r="E226" s="16" t="s">
        <v>83</v>
      </c>
      <c r="F226" s="16" t="s">
        <v>83</v>
      </c>
      <c r="G226" s="10" t="s">
        <v>27</v>
      </c>
      <c r="H226" s="11" t="s">
        <v>83</v>
      </c>
      <c r="I226" s="102">
        <v>100</v>
      </c>
      <c r="J226" s="40">
        <f t="shared" ref="J226:Z226" si="94">J227</f>
        <v>16775400</v>
      </c>
      <c r="K226" s="97">
        <f t="shared" si="94"/>
        <v>0</v>
      </c>
      <c r="L226" s="104">
        <f t="shared" si="94"/>
        <v>24836370.050000001</v>
      </c>
      <c r="M226" s="104">
        <f t="shared" si="94"/>
        <v>0</v>
      </c>
      <c r="N226" s="104">
        <f t="shared" si="94"/>
        <v>24836370.050000001</v>
      </c>
      <c r="O226" s="104">
        <f t="shared" si="94"/>
        <v>24836370.050000001</v>
      </c>
      <c r="P226" s="104">
        <f t="shared" si="94"/>
        <v>0</v>
      </c>
      <c r="Q226" s="104">
        <f t="shared" si="94"/>
        <v>0</v>
      </c>
      <c r="R226" s="104">
        <f t="shared" si="94"/>
        <v>24836370.050000001</v>
      </c>
      <c r="S226" s="104">
        <f t="shared" si="94"/>
        <v>24836370.050000001</v>
      </c>
      <c r="T226" s="104">
        <f t="shared" si="94"/>
        <v>24836370.050000001</v>
      </c>
      <c r="U226" s="104">
        <f t="shared" si="94"/>
        <v>0</v>
      </c>
      <c r="V226" s="104">
        <f t="shared" si="94"/>
        <v>0</v>
      </c>
      <c r="W226" s="104">
        <f t="shared" si="94"/>
        <v>24836370.050000001</v>
      </c>
      <c r="X226" s="104">
        <f t="shared" si="94"/>
        <v>24836370.050000001</v>
      </c>
      <c r="Y226" s="104">
        <f t="shared" si="94"/>
        <v>0</v>
      </c>
      <c r="Z226" s="104">
        <f t="shared" si="94"/>
        <v>24836370.050000001</v>
      </c>
    </row>
    <row r="227" spans="1:26" s="94" customFormat="1" ht="25.5" x14ac:dyDescent="0.2">
      <c r="A227" s="190"/>
      <c r="B227" s="250" t="s">
        <v>51</v>
      </c>
      <c r="C227" s="10" t="s">
        <v>1</v>
      </c>
      <c r="D227" s="10" t="s">
        <v>83</v>
      </c>
      <c r="E227" s="16" t="s">
        <v>83</v>
      </c>
      <c r="F227" s="16" t="s">
        <v>83</v>
      </c>
      <c r="G227" s="10" t="s">
        <v>27</v>
      </c>
      <c r="H227" s="11" t="s">
        <v>83</v>
      </c>
      <c r="I227" s="102">
        <v>120</v>
      </c>
      <c r="J227" s="12">
        <v>16775400</v>
      </c>
      <c r="K227" s="103">
        <v>0</v>
      </c>
      <c r="L227" s="104">
        <v>24836370.050000001</v>
      </c>
      <c r="M227" s="104">
        <v>0</v>
      </c>
      <c r="N227" s="104">
        <v>24836370.050000001</v>
      </c>
      <c r="O227" s="104">
        <v>24836370.050000001</v>
      </c>
      <c r="P227" s="104">
        <v>0</v>
      </c>
      <c r="Q227" s="104">
        <v>0</v>
      </c>
      <c r="R227" s="104">
        <v>24836370.050000001</v>
      </c>
      <c r="S227" s="104">
        <v>24836370.050000001</v>
      </c>
      <c r="T227" s="104">
        <v>24836370.050000001</v>
      </c>
      <c r="U227" s="104">
        <v>0</v>
      </c>
      <c r="V227" s="104">
        <v>0</v>
      </c>
      <c r="W227" s="104">
        <v>24836370.050000001</v>
      </c>
      <c r="X227" s="104">
        <v>24836370.050000001</v>
      </c>
      <c r="Y227" s="104">
        <v>0</v>
      </c>
      <c r="Z227" s="104">
        <v>24836370.050000001</v>
      </c>
    </row>
    <row r="228" spans="1:26" s="94" customFormat="1" ht="25.5" x14ac:dyDescent="0.2">
      <c r="A228" s="190"/>
      <c r="B228" s="250" t="s">
        <v>42</v>
      </c>
      <c r="C228" s="10" t="s">
        <v>1</v>
      </c>
      <c r="D228" s="10" t="s">
        <v>83</v>
      </c>
      <c r="E228" s="16" t="s">
        <v>83</v>
      </c>
      <c r="F228" s="16" t="s">
        <v>83</v>
      </c>
      <c r="G228" s="10" t="s">
        <v>27</v>
      </c>
      <c r="H228" s="11" t="s">
        <v>83</v>
      </c>
      <c r="I228" s="102">
        <v>200</v>
      </c>
      <c r="J228" s="12">
        <f t="shared" ref="J228:Z228" si="95">J229</f>
        <v>275700</v>
      </c>
      <c r="K228" s="103">
        <f t="shared" si="95"/>
        <v>0</v>
      </c>
      <c r="L228" s="104">
        <f t="shared" si="95"/>
        <v>275700</v>
      </c>
      <c r="M228" s="104">
        <f t="shared" si="95"/>
        <v>0</v>
      </c>
      <c r="N228" s="104">
        <f t="shared" si="95"/>
        <v>275700</v>
      </c>
      <c r="O228" s="104">
        <f t="shared" si="95"/>
        <v>275700</v>
      </c>
      <c r="P228" s="104">
        <f t="shared" si="95"/>
        <v>0</v>
      </c>
      <c r="Q228" s="104">
        <f t="shared" si="95"/>
        <v>0</v>
      </c>
      <c r="R228" s="104">
        <f t="shared" si="95"/>
        <v>275700</v>
      </c>
      <c r="S228" s="104">
        <f t="shared" si="95"/>
        <v>275700</v>
      </c>
      <c r="T228" s="104">
        <f t="shared" si="95"/>
        <v>275700</v>
      </c>
      <c r="U228" s="104">
        <f t="shared" si="95"/>
        <v>0</v>
      </c>
      <c r="V228" s="104">
        <f t="shared" si="95"/>
        <v>0</v>
      </c>
      <c r="W228" s="104">
        <f t="shared" si="95"/>
        <v>275700</v>
      </c>
      <c r="X228" s="104">
        <f t="shared" si="95"/>
        <v>275700</v>
      </c>
      <c r="Y228" s="104">
        <f t="shared" si="95"/>
        <v>0</v>
      </c>
      <c r="Z228" s="104">
        <f t="shared" si="95"/>
        <v>275700</v>
      </c>
    </row>
    <row r="229" spans="1:26" s="94" customFormat="1" ht="25.5" x14ac:dyDescent="0.2">
      <c r="A229" s="190"/>
      <c r="B229" s="250" t="s">
        <v>44</v>
      </c>
      <c r="C229" s="10" t="s">
        <v>1</v>
      </c>
      <c r="D229" s="10" t="s">
        <v>83</v>
      </c>
      <c r="E229" s="16" t="s">
        <v>83</v>
      </c>
      <c r="F229" s="16" t="s">
        <v>83</v>
      </c>
      <c r="G229" s="10" t="s">
        <v>27</v>
      </c>
      <c r="H229" s="11" t="s">
        <v>83</v>
      </c>
      <c r="I229" s="102">
        <v>240</v>
      </c>
      <c r="J229" s="12">
        <v>275700</v>
      </c>
      <c r="K229" s="103">
        <v>0</v>
      </c>
      <c r="L229" s="104">
        <v>275700</v>
      </c>
      <c r="M229" s="104">
        <v>0</v>
      </c>
      <c r="N229" s="104">
        <v>275700</v>
      </c>
      <c r="O229" s="104">
        <v>275700</v>
      </c>
      <c r="P229" s="104">
        <v>0</v>
      </c>
      <c r="Q229" s="104">
        <v>0</v>
      </c>
      <c r="R229" s="104">
        <v>275700</v>
      </c>
      <c r="S229" s="104">
        <v>275700</v>
      </c>
      <c r="T229" s="104">
        <v>275700</v>
      </c>
      <c r="U229" s="104">
        <v>0</v>
      </c>
      <c r="V229" s="104">
        <v>0</v>
      </c>
      <c r="W229" s="104">
        <v>275700</v>
      </c>
      <c r="X229" s="104">
        <v>275700</v>
      </c>
      <c r="Y229" s="104">
        <v>0</v>
      </c>
      <c r="Z229" s="104">
        <v>275700</v>
      </c>
    </row>
    <row r="230" spans="1:26" x14ac:dyDescent="0.2">
      <c r="A230" s="193"/>
      <c r="B230" s="250" t="s">
        <v>78</v>
      </c>
      <c r="C230" s="16" t="s">
        <v>1</v>
      </c>
      <c r="D230" s="17" t="s">
        <v>83</v>
      </c>
      <c r="E230" s="16" t="s">
        <v>83</v>
      </c>
      <c r="F230" s="16" t="s">
        <v>83</v>
      </c>
      <c r="G230" s="18" t="s">
        <v>0</v>
      </c>
      <c r="H230" s="11" t="s">
        <v>83</v>
      </c>
      <c r="I230" s="96"/>
      <c r="J230" s="40">
        <f>J231+J235</f>
        <v>8186469</v>
      </c>
      <c r="K230" s="97">
        <f>K231+K235</f>
        <v>0</v>
      </c>
      <c r="L230" s="98">
        <f t="shared" ref="L230:X230" si="96">L231+L235+L233</f>
        <v>1119511</v>
      </c>
      <c r="M230" s="98">
        <f t="shared" si="96"/>
        <v>502789</v>
      </c>
      <c r="N230" s="98">
        <f t="shared" si="96"/>
        <v>1622300</v>
      </c>
      <c r="O230" s="98">
        <f t="shared" si="96"/>
        <v>37290778</v>
      </c>
      <c r="P230" s="98">
        <f t="shared" si="96"/>
        <v>516696</v>
      </c>
      <c r="Q230" s="98">
        <f>Q231+Q235+Q233</f>
        <v>0</v>
      </c>
      <c r="R230" s="98">
        <f>R231+R235+R233</f>
        <v>1622300</v>
      </c>
      <c r="S230" s="98">
        <f t="shared" si="96"/>
        <v>37807474</v>
      </c>
      <c r="T230" s="98">
        <f t="shared" si="96"/>
        <v>23204705</v>
      </c>
      <c r="U230" s="98">
        <f t="shared" si="96"/>
        <v>533471</v>
      </c>
      <c r="V230" s="98">
        <f>V231+V235+V233</f>
        <v>0</v>
      </c>
      <c r="W230" s="98">
        <f>W231+W235+W233</f>
        <v>37807474</v>
      </c>
      <c r="X230" s="98">
        <f t="shared" si="96"/>
        <v>23738176</v>
      </c>
      <c r="Y230" s="98">
        <f>Y231+Y235+Y233</f>
        <v>0</v>
      </c>
      <c r="Z230" s="98">
        <f>Z231+Z235+Z233</f>
        <v>23738176</v>
      </c>
    </row>
    <row r="231" spans="1:26" ht="25.5" x14ac:dyDescent="0.2">
      <c r="A231" s="193"/>
      <c r="B231" s="252" t="s">
        <v>75</v>
      </c>
      <c r="C231" s="189" t="s">
        <v>1</v>
      </c>
      <c r="D231" s="189" t="s">
        <v>83</v>
      </c>
      <c r="E231" s="16" t="s">
        <v>83</v>
      </c>
      <c r="F231" s="16" t="s">
        <v>83</v>
      </c>
      <c r="G231" s="189" t="s">
        <v>0</v>
      </c>
      <c r="H231" s="11" t="s">
        <v>83</v>
      </c>
      <c r="I231" s="149" t="s">
        <v>43</v>
      </c>
      <c r="J231" s="40">
        <f t="shared" ref="J231:Z231" si="97">J232</f>
        <v>69000</v>
      </c>
      <c r="K231" s="97">
        <f t="shared" si="97"/>
        <v>0</v>
      </c>
      <c r="L231" s="98">
        <f t="shared" si="97"/>
        <v>0</v>
      </c>
      <c r="M231" s="98">
        <f t="shared" si="97"/>
        <v>0</v>
      </c>
      <c r="N231" s="98">
        <f t="shared" si="97"/>
        <v>0</v>
      </c>
      <c r="O231" s="98">
        <f t="shared" si="97"/>
        <v>69000</v>
      </c>
      <c r="P231" s="98">
        <f t="shared" si="97"/>
        <v>0</v>
      </c>
      <c r="Q231" s="98">
        <f t="shared" si="97"/>
        <v>0</v>
      </c>
      <c r="R231" s="98">
        <f t="shared" si="97"/>
        <v>0</v>
      </c>
      <c r="S231" s="98">
        <f t="shared" si="97"/>
        <v>69000</v>
      </c>
      <c r="T231" s="99">
        <f t="shared" si="97"/>
        <v>69000</v>
      </c>
      <c r="U231" s="99">
        <f t="shared" si="97"/>
        <v>0</v>
      </c>
      <c r="V231" s="98">
        <f t="shared" si="97"/>
        <v>0</v>
      </c>
      <c r="W231" s="98">
        <f t="shared" si="97"/>
        <v>69000</v>
      </c>
      <c r="X231" s="99">
        <f t="shared" si="97"/>
        <v>69000</v>
      </c>
      <c r="Y231" s="99">
        <f t="shared" si="97"/>
        <v>0</v>
      </c>
      <c r="Z231" s="99">
        <f t="shared" si="97"/>
        <v>69000</v>
      </c>
    </row>
    <row r="232" spans="1:26" ht="25.5" x14ac:dyDescent="0.2">
      <c r="A232" s="193"/>
      <c r="B232" s="252" t="s">
        <v>44</v>
      </c>
      <c r="C232" s="189" t="s">
        <v>1</v>
      </c>
      <c r="D232" s="189" t="s">
        <v>83</v>
      </c>
      <c r="E232" s="16" t="s">
        <v>83</v>
      </c>
      <c r="F232" s="16" t="s">
        <v>83</v>
      </c>
      <c r="G232" s="189" t="s">
        <v>0</v>
      </c>
      <c r="H232" s="11" t="s">
        <v>83</v>
      </c>
      <c r="I232" s="149" t="s">
        <v>45</v>
      </c>
      <c r="J232" s="40">
        <v>69000</v>
      </c>
      <c r="K232" s="97">
        <v>0</v>
      </c>
      <c r="L232" s="98">
        <v>0</v>
      </c>
      <c r="M232" s="98">
        <v>0</v>
      </c>
      <c r="N232" s="98">
        <v>0</v>
      </c>
      <c r="O232" s="98">
        <v>69000</v>
      </c>
      <c r="P232" s="98">
        <v>0</v>
      </c>
      <c r="Q232" s="98">
        <v>0</v>
      </c>
      <c r="R232" s="98">
        <v>0</v>
      </c>
      <c r="S232" s="98">
        <v>69000</v>
      </c>
      <c r="T232" s="99">
        <v>69000</v>
      </c>
      <c r="U232" s="99">
        <v>0</v>
      </c>
      <c r="V232" s="98">
        <v>0</v>
      </c>
      <c r="W232" s="98">
        <v>69000</v>
      </c>
      <c r="X232" s="99">
        <v>69000</v>
      </c>
      <c r="Y232" s="99">
        <v>0</v>
      </c>
      <c r="Z232" s="99">
        <v>69000</v>
      </c>
    </row>
    <row r="233" spans="1:26" x14ac:dyDescent="0.2">
      <c r="A233" s="193"/>
      <c r="B233" s="250" t="s">
        <v>46</v>
      </c>
      <c r="C233" s="189" t="s">
        <v>1</v>
      </c>
      <c r="D233" s="189" t="s">
        <v>83</v>
      </c>
      <c r="E233" s="16" t="s">
        <v>83</v>
      </c>
      <c r="F233" s="16" t="s">
        <v>83</v>
      </c>
      <c r="G233" s="189" t="s">
        <v>0</v>
      </c>
      <c r="H233" s="11" t="s">
        <v>83</v>
      </c>
      <c r="I233" s="149" t="s">
        <v>47</v>
      </c>
      <c r="J233" s="40">
        <f t="shared" ref="J233:Z233" si="98">J234</f>
        <v>69000</v>
      </c>
      <c r="K233" s="97">
        <f t="shared" si="98"/>
        <v>0</v>
      </c>
      <c r="L233" s="98">
        <f t="shared" si="98"/>
        <v>0</v>
      </c>
      <c r="M233" s="98">
        <f t="shared" si="98"/>
        <v>0</v>
      </c>
      <c r="N233" s="98">
        <f t="shared" si="98"/>
        <v>0</v>
      </c>
      <c r="O233" s="98">
        <f t="shared" si="98"/>
        <v>117200</v>
      </c>
      <c r="P233" s="98">
        <f t="shared" si="98"/>
        <v>0</v>
      </c>
      <c r="Q233" s="98">
        <f t="shared" si="98"/>
        <v>0</v>
      </c>
      <c r="R233" s="98">
        <f t="shared" si="98"/>
        <v>0</v>
      </c>
      <c r="S233" s="98">
        <f t="shared" si="98"/>
        <v>117200</v>
      </c>
      <c r="T233" s="99">
        <f t="shared" si="98"/>
        <v>117200</v>
      </c>
      <c r="U233" s="99">
        <f t="shared" si="98"/>
        <v>0</v>
      </c>
      <c r="V233" s="98">
        <f t="shared" si="98"/>
        <v>0</v>
      </c>
      <c r="W233" s="98">
        <f t="shared" si="98"/>
        <v>117200</v>
      </c>
      <c r="X233" s="99">
        <f t="shared" si="98"/>
        <v>117200</v>
      </c>
      <c r="Y233" s="99">
        <f t="shared" si="98"/>
        <v>0</v>
      </c>
      <c r="Z233" s="99">
        <f t="shared" si="98"/>
        <v>117200</v>
      </c>
    </row>
    <row r="234" spans="1:26" x14ac:dyDescent="0.2">
      <c r="A234" s="193"/>
      <c r="B234" s="250" t="s">
        <v>267</v>
      </c>
      <c r="C234" s="189" t="s">
        <v>1</v>
      </c>
      <c r="D234" s="189" t="s">
        <v>83</v>
      </c>
      <c r="E234" s="16" t="s">
        <v>83</v>
      </c>
      <c r="F234" s="16" t="s">
        <v>83</v>
      </c>
      <c r="G234" s="189" t="s">
        <v>0</v>
      </c>
      <c r="H234" s="11" t="s">
        <v>83</v>
      </c>
      <c r="I234" s="149" t="s">
        <v>266</v>
      </c>
      <c r="J234" s="40">
        <v>69000</v>
      </c>
      <c r="K234" s="97">
        <v>0</v>
      </c>
      <c r="L234" s="98">
        <v>0</v>
      </c>
      <c r="M234" s="98">
        <v>0</v>
      </c>
      <c r="N234" s="98">
        <v>0</v>
      </c>
      <c r="O234" s="98">
        <v>117200</v>
      </c>
      <c r="P234" s="98">
        <v>0</v>
      </c>
      <c r="Q234" s="98">
        <v>0</v>
      </c>
      <c r="R234" s="98">
        <v>0</v>
      </c>
      <c r="S234" s="98">
        <v>117200</v>
      </c>
      <c r="T234" s="99">
        <v>117200</v>
      </c>
      <c r="U234" s="99">
        <v>0</v>
      </c>
      <c r="V234" s="98">
        <v>0</v>
      </c>
      <c r="W234" s="98">
        <v>117200</v>
      </c>
      <c r="X234" s="99">
        <v>117200</v>
      </c>
      <c r="Y234" s="99">
        <v>0</v>
      </c>
      <c r="Z234" s="99">
        <v>117200</v>
      </c>
    </row>
    <row r="235" spans="1:26" ht="25.5" x14ac:dyDescent="0.2">
      <c r="A235" s="193"/>
      <c r="B235" s="250" t="s">
        <v>21</v>
      </c>
      <c r="C235" s="16" t="s">
        <v>1</v>
      </c>
      <c r="D235" s="17" t="s">
        <v>83</v>
      </c>
      <c r="E235" s="16" t="s">
        <v>83</v>
      </c>
      <c r="F235" s="16" t="s">
        <v>83</v>
      </c>
      <c r="G235" s="18" t="s">
        <v>0</v>
      </c>
      <c r="H235" s="11" t="s">
        <v>83</v>
      </c>
      <c r="I235" s="96">
        <v>600</v>
      </c>
      <c r="J235" s="40">
        <f>J236</f>
        <v>8117469</v>
      </c>
      <c r="K235" s="97">
        <f>K236</f>
        <v>0</v>
      </c>
      <c r="L235" s="104">
        <f>L236</f>
        <v>1119511</v>
      </c>
      <c r="M235" s="104">
        <f>M236</f>
        <v>502789</v>
      </c>
      <c r="N235" s="104">
        <f>N236</f>
        <v>1622300</v>
      </c>
      <c r="O235" s="98">
        <f t="shared" ref="O235:Z235" si="99">O236</f>
        <v>37104578</v>
      </c>
      <c r="P235" s="98">
        <f t="shared" si="99"/>
        <v>516696</v>
      </c>
      <c r="Q235" s="104">
        <f>Q236</f>
        <v>0</v>
      </c>
      <c r="R235" s="104">
        <f>R236</f>
        <v>1622300</v>
      </c>
      <c r="S235" s="98">
        <f t="shared" si="99"/>
        <v>37621274</v>
      </c>
      <c r="T235" s="99">
        <f t="shared" si="99"/>
        <v>23018505</v>
      </c>
      <c r="U235" s="99">
        <f t="shared" si="99"/>
        <v>533471</v>
      </c>
      <c r="V235" s="98">
        <f t="shared" si="99"/>
        <v>0</v>
      </c>
      <c r="W235" s="98">
        <f t="shared" si="99"/>
        <v>37621274</v>
      </c>
      <c r="X235" s="99">
        <f t="shared" si="99"/>
        <v>23551976</v>
      </c>
      <c r="Y235" s="99">
        <f t="shared" si="99"/>
        <v>0</v>
      </c>
      <c r="Z235" s="99">
        <f t="shared" si="99"/>
        <v>23551976</v>
      </c>
    </row>
    <row r="236" spans="1:26" x14ac:dyDescent="0.2">
      <c r="A236" s="193"/>
      <c r="B236" s="250" t="s">
        <v>22</v>
      </c>
      <c r="C236" s="16" t="s">
        <v>1</v>
      </c>
      <c r="D236" s="17" t="s">
        <v>83</v>
      </c>
      <c r="E236" s="16" t="s">
        <v>83</v>
      </c>
      <c r="F236" s="16" t="s">
        <v>83</v>
      </c>
      <c r="G236" s="18" t="s">
        <v>0</v>
      </c>
      <c r="H236" s="11" t="s">
        <v>83</v>
      </c>
      <c r="I236" s="96" t="s">
        <v>23</v>
      </c>
      <c r="J236" s="12">
        <f>6401169+1629100+87200</f>
        <v>8117469</v>
      </c>
      <c r="K236" s="103">
        <v>0</v>
      </c>
      <c r="L236" s="104">
        <f>954100+165411</f>
        <v>1119511</v>
      </c>
      <c r="M236" s="104">
        <v>502789</v>
      </c>
      <c r="N236" s="104">
        <f>M236+L236</f>
        <v>1622300</v>
      </c>
      <c r="O236" s="104">
        <f>120000+39400+348300+601200+176000+1000000+26601300+3696000+1535400+1097000+1609100+133778+147100</f>
        <v>37104578</v>
      </c>
      <c r="P236" s="104">
        <v>516696</v>
      </c>
      <c r="Q236" s="104">
        <v>0</v>
      </c>
      <c r="R236" s="104">
        <v>1622300</v>
      </c>
      <c r="S236" s="104">
        <f>P236+O236</f>
        <v>37621274</v>
      </c>
      <c r="T236" s="104">
        <f>120000+39400+348300+601200+176000+13672200+5150500+1056600+147100+1609100+98105</f>
        <v>23018505</v>
      </c>
      <c r="U236" s="104">
        <v>533471</v>
      </c>
      <c r="V236" s="104">
        <v>0</v>
      </c>
      <c r="W236" s="104">
        <v>37621274</v>
      </c>
      <c r="X236" s="104">
        <f>T236+U236</f>
        <v>23551976</v>
      </c>
      <c r="Y236" s="104">
        <v>0</v>
      </c>
      <c r="Z236" s="104">
        <v>23551976</v>
      </c>
    </row>
    <row r="237" spans="1:26" ht="25.5" x14ac:dyDescent="0.2">
      <c r="A237" s="193"/>
      <c r="B237" s="250" t="s">
        <v>94</v>
      </c>
      <c r="C237" s="16" t="s">
        <v>1</v>
      </c>
      <c r="D237" s="17" t="s">
        <v>83</v>
      </c>
      <c r="E237" s="16" t="s">
        <v>83</v>
      </c>
      <c r="F237" s="16" t="s">
        <v>83</v>
      </c>
      <c r="G237" s="18" t="s">
        <v>95</v>
      </c>
      <c r="H237" s="11" t="s">
        <v>83</v>
      </c>
      <c r="I237" s="96"/>
      <c r="J237" s="40">
        <f t="shared" ref="J237:Y238" si="100">J238</f>
        <v>306406674</v>
      </c>
      <c r="K237" s="97">
        <f t="shared" si="100"/>
        <v>0</v>
      </c>
      <c r="L237" s="98">
        <f t="shared" si="100"/>
        <v>398404424.44</v>
      </c>
      <c r="M237" s="98">
        <f t="shared" si="100"/>
        <v>-109964.4</v>
      </c>
      <c r="N237" s="98">
        <f t="shared" si="100"/>
        <v>398294460.04000002</v>
      </c>
      <c r="O237" s="98">
        <f t="shared" si="100"/>
        <v>403276517.44</v>
      </c>
      <c r="P237" s="98">
        <f t="shared" si="100"/>
        <v>-5421631.4000000004</v>
      </c>
      <c r="Q237" s="98">
        <f t="shared" si="100"/>
        <v>-103448.34</v>
      </c>
      <c r="R237" s="98">
        <f t="shared" si="100"/>
        <v>398191011.70000005</v>
      </c>
      <c r="S237" s="98">
        <f t="shared" si="100"/>
        <v>397854886.04000002</v>
      </c>
      <c r="T237" s="99">
        <f t="shared" si="100"/>
        <v>402824630.44</v>
      </c>
      <c r="U237" s="99">
        <f t="shared" si="100"/>
        <v>-5438406.4000000004</v>
      </c>
      <c r="V237" s="98">
        <f t="shared" si="100"/>
        <v>0</v>
      </c>
      <c r="W237" s="98">
        <f t="shared" si="100"/>
        <v>397854886.04000002</v>
      </c>
      <c r="X237" s="99">
        <f t="shared" si="100"/>
        <v>397386224.04000002</v>
      </c>
      <c r="Y237" s="99">
        <f t="shared" si="100"/>
        <v>0</v>
      </c>
      <c r="Z237" s="99">
        <f>Z238</f>
        <v>397386224.04000002</v>
      </c>
    </row>
    <row r="238" spans="1:26" ht="25.5" x14ac:dyDescent="0.2">
      <c r="A238" s="193"/>
      <c r="B238" s="250" t="s">
        <v>21</v>
      </c>
      <c r="C238" s="10" t="s">
        <v>1</v>
      </c>
      <c r="D238" s="14" t="s">
        <v>83</v>
      </c>
      <c r="E238" s="16" t="s">
        <v>83</v>
      </c>
      <c r="F238" s="16" t="s">
        <v>83</v>
      </c>
      <c r="G238" s="15" t="s">
        <v>95</v>
      </c>
      <c r="H238" s="11" t="s">
        <v>83</v>
      </c>
      <c r="I238" s="96">
        <v>600</v>
      </c>
      <c r="J238" s="40">
        <f t="shared" si="100"/>
        <v>306406674</v>
      </c>
      <c r="K238" s="97">
        <f t="shared" si="100"/>
        <v>0</v>
      </c>
      <c r="L238" s="98">
        <f t="shared" si="100"/>
        <v>398404424.44</v>
      </c>
      <c r="M238" s="98">
        <f t="shared" si="100"/>
        <v>-109964.4</v>
      </c>
      <c r="N238" s="98">
        <f t="shared" si="100"/>
        <v>398294460.04000002</v>
      </c>
      <c r="O238" s="98">
        <f t="shared" si="100"/>
        <v>403276517.44</v>
      </c>
      <c r="P238" s="98">
        <f t="shared" si="100"/>
        <v>-5421631.4000000004</v>
      </c>
      <c r="Q238" s="98">
        <f t="shared" si="100"/>
        <v>-103448.34</v>
      </c>
      <c r="R238" s="98">
        <f t="shared" si="100"/>
        <v>398191011.70000005</v>
      </c>
      <c r="S238" s="98">
        <f t="shared" si="100"/>
        <v>397854886.04000002</v>
      </c>
      <c r="T238" s="99">
        <f t="shared" si="100"/>
        <v>402824630.44</v>
      </c>
      <c r="U238" s="99">
        <f t="shared" si="100"/>
        <v>-5438406.4000000004</v>
      </c>
      <c r="V238" s="98">
        <f t="shared" si="100"/>
        <v>0</v>
      </c>
      <c r="W238" s="98">
        <f t="shared" si="100"/>
        <v>397854886.04000002</v>
      </c>
      <c r="X238" s="99">
        <f t="shared" si="100"/>
        <v>397386224.04000002</v>
      </c>
      <c r="Y238" s="99">
        <f>Y239</f>
        <v>0</v>
      </c>
      <c r="Z238" s="99">
        <f>Z239</f>
        <v>397386224.04000002</v>
      </c>
    </row>
    <row r="239" spans="1:26" x14ac:dyDescent="0.2">
      <c r="A239" s="193"/>
      <c r="B239" s="250" t="s">
        <v>22</v>
      </c>
      <c r="C239" s="10" t="s">
        <v>1</v>
      </c>
      <c r="D239" s="14" t="s">
        <v>83</v>
      </c>
      <c r="E239" s="16" t="s">
        <v>83</v>
      </c>
      <c r="F239" s="16" t="s">
        <v>83</v>
      </c>
      <c r="G239" s="15" t="s">
        <v>95</v>
      </c>
      <c r="H239" s="11" t="s">
        <v>83</v>
      </c>
      <c r="I239" s="96" t="s">
        <v>23</v>
      </c>
      <c r="J239" s="12">
        <f>216164874+90241800</f>
        <v>306406674</v>
      </c>
      <c r="K239" s="103">
        <v>0</v>
      </c>
      <c r="L239" s="104">
        <f>283404424.44+115000000</f>
        <v>398404424.44</v>
      </c>
      <c r="M239" s="104">
        <v>-109964.4</v>
      </c>
      <c r="N239" s="104">
        <f>L239+M239</f>
        <v>398294460.04000002</v>
      </c>
      <c r="O239" s="104">
        <f>286276517.44+117000000</f>
        <v>403276517.44</v>
      </c>
      <c r="P239" s="104">
        <f>-148831.4-5272800</f>
        <v>-5421631.4000000004</v>
      </c>
      <c r="Q239" s="104">
        <v>-103448.34</v>
      </c>
      <c r="R239" s="104">
        <f>Q239+N239</f>
        <v>398191011.70000005</v>
      </c>
      <c r="S239" s="104">
        <f>O239+P239</f>
        <v>397854886.04000002</v>
      </c>
      <c r="T239" s="104">
        <f>284559630.44+1265000+117000000</f>
        <v>402824630.44</v>
      </c>
      <c r="U239" s="104">
        <f>-165606.4-5272800</f>
        <v>-5438406.4000000004</v>
      </c>
      <c r="V239" s="104">
        <v>0</v>
      </c>
      <c r="W239" s="104">
        <v>397854886.04000002</v>
      </c>
      <c r="X239" s="104">
        <f>T239+U239</f>
        <v>397386224.04000002</v>
      </c>
      <c r="Y239" s="104">
        <v>0</v>
      </c>
      <c r="Z239" s="104">
        <v>397386224.04000002</v>
      </c>
    </row>
    <row r="240" spans="1:26" ht="25.5" x14ac:dyDescent="0.2">
      <c r="A240" s="193"/>
      <c r="B240" s="250" t="s">
        <v>97</v>
      </c>
      <c r="C240" s="10" t="s">
        <v>1</v>
      </c>
      <c r="D240" s="14" t="s">
        <v>83</v>
      </c>
      <c r="E240" s="16" t="s">
        <v>83</v>
      </c>
      <c r="F240" s="16" t="s">
        <v>83</v>
      </c>
      <c r="G240" s="15" t="s">
        <v>98</v>
      </c>
      <c r="H240" s="11" t="s">
        <v>83</v>
      </c>
      <c r="I240" s="96"/>
      <c r="J240" s="40">
        <f t="shared" ref="J240:Y241" si="101">J241</f>
        <v>20952780</v>
      </c>
      <c r="K240" s="97">
        <f t="shared" si="101"/>
        <v>0</v>
      </c>
      <c r="L240" s="104">
        <f t="shared" si="101"/>
        <v>24801544.559999999</v>
      </c>
      <c r="M240" s="104">
        <f t="shared" si="101"/>
        <v>61475.4</v>
      </c>
      <c r="N240" s="104">
        <f t="shared" si="101"/>
        <v>24863019.959999997</v>
      </c>
      <c r="O240" s="103">
        <f t="shared" si="101"/>
        <v>19528744.559999999</v>
      </c>
      <c r="P240" s="104">
        <f t="shared" si="101"/>
        <v>5334275.4000000004</v>
      </c>
      <c r="Q240" s="104">
        <f t="shared" si="101"/>
        <v>0</v>
      </c>
      <c r="R240" s="104">
        <f t="shared" si="101"/>
        <v>24863019.960000001</v>
      </c>
      <c r="S240" s="104">
        <f t="shared" si="101"/>
        <v>24863019.960000001</v>
      </c>
      <c r="T240" s="104">
        <f t="shared" si="101"/>
        <v>19528744.559999999</v>
      </c>
      <c r="U240" s="104">
        <f t="shared" si="101"/>
        <v>5334275.4000000004</v>
      </c>
      <c r="V240" s="104">
        <f t="shared" si="101"/>
        <v>0</v>
      </c>
      <c r="W240" s="104">
        <f t="shared" si="101"/>
        <v>24863019.960000001</v>
      </c>
      <c r="X240" s="104">
        <f t="shared" si="101"/>
        <v>24863019.960000001</v>
      </c>
      <c r="Y240" s="104">
        <f t="shared" si="101"/>
        <v>0</v>
      </c>
      <c r="Z240" s="104">
        <f>Z241</f>
        <v>24863019.960000001</v>
      </c>
    </row>
    <row r="241" spans="1:26" ht="25.5" x14ac:dyDescent="0.2">
      <c r="A241" s="193"/>
      <c r="B241" s="250" t="s">
        <v>21</v>
      </c>
      <c r="C241" s="10" t="s">
        <v>1</v>
      </c>
      <c r="D241" s="14" t="s">
        <v>83</v>
      </c>
      <c r="E241" s="16" t="s">
        <v>83</v>
      </c>
      <c r="F241" s="16" t="s">
        <v>83</v>
      </c>
      <c r="G241" s="15" t="s">
        <v>98</v>
      </c>
      <c r="H241" s="11" t="s">
        <v>83</v>
      </c>
      <c r="I241" s="96">
        <v>600</v>
      </c>
      <c r="J241" s="40">
        <f t="shared" si="101"/>
        <v>20952780</v>
      </c>
      <c r="K241" s="97">
        <f t="shared" si="101"/>
        <v>0</v>
      </c>
      <c r="L241" s="104">
        <f t="shared" si="101"/>
        <v>24801544.559999999</v>
      </c>
      <c r="M241" s="104">
        <f t="shared" si="101"/>
        <v>61475.4</v>
      </c>
      <c r="N241" s="104">
        <f t="shared" si="101"/>
        <v>24863019.959999997</v>
      </c>
      <c r="O241" s="103">
        <f t="shared" si="101"/>
        <v>19528744.559999999</v>
      </c>
      <c r="P241" s="104">
        <f t="shared" si="101"/>
        <v>5334275.4000000004</v>
      </c>
      <c r="Q241" s="104">
        <f t="shared" si="101"/>
        <v>0</v>
      </c>
      <c r="R241" s="104">
        <f t="shared" si="101"/>
        <v>24863019.960000001</v>
      </c>
      <c r="S241" s="104">
        <f t="shared" si="101"/>
        <v>24863019.960000001</v>
      </c>
      <c r="T241" s="104">
        <f t="shared" si="101"/>
        <v>19528744.559999999</v>
      </c>
      <c r="U241" s="104">
        <f t="shared" si="101"/>
        <v>5334275.4000000004</v>
      </c>
      <c r="V241" s="104">
        <f t="shared" si="101"/>
        <v>0</v>
      </c>
      <c r="W241" s="104">
        <f t="shared" si="101"/>
        <v>24863019.960000001</v>
      </c>
      <c r="X241" s="104">
        <f t="shared" si="101"/>
        <v>24863019.960000001</v>
      </c>
      <c r="Y241" s="104">
        <f>Y242</f>
        <v>0</v>
      </c>
      <c r="Z241" s="104">
        <f>Z242</f>
        <v>24863019.960000001</v>
      </c>
    </row>
    <row r="242" spans="1:26" x14ac:dyDescent="0.2">
      <c r="A242" s="193"/>
      <c r="B242" s="250" t="s">
        <v>22</v>
      </c>
      <c r="C242" s="10" t="s">
        <v>1</v>
      </c>
      <c r="D242" s="14" t="s">
        <v>83</v>
      </c>
      <c r="E242" s="16" t="s">
        <v>83</v>
      </c>
      <c r="F242" s="16" t="s">
        <v>83</v>
      </c>
      <c r="G242" s="15" t="s">
        <v>98</v>
      </c>
      <c r="H242" s="11" t="s">
        <v>83</v>
      </c>
      <c r="I242" s="96" t="s">
        <v>23</v>
      </c>
      <c r="J242" s="8">
        <v>20952780</v>
      </c>
      <c r="K242" s="111">
        <v>0</v>
      </c>
      <c r="L242" s="112">
        <f>19528744.56+5272800</f>
        <v>24801544.559999999</v>
      </c>
      <c r="M242" s="112">
        <v>61475.4</v>
      </c>
      <c r="N242" s="112">
        <f>M242+L242</f>
        <v>24863019.959999997</v>
      </c>
      <c r="O242" s="111">
        <v>19528744.559999999</v>
      </c>
      <c r="P242" s="112">
        <f>61475.4+5272800</f>
        <v>5334275.4000000004</v>
      </c>
      <c r="Q242" s="112">
        <v>0</v>
      </c>
      <c r="R242" s="112">
        <v>24863019.960000001</v>
      </c>
      <c r="S242" s="112">
        <f>P242+O242</f>
        <v>24863019.960000001</v>
      </c>
      <c r="T242" s="112">
        <v>19528744.559999999</v>
      </c>
      <c r="U242" s="112">
        <f>61475.4+5272800</f>
        <v>5334275.4000000004</v>
      </c>
      <c r="V242" s="112">
        <v>0</v>
      </c>
      <c r="W242" s="112">
        <v>24863019.960000001</v>
      </c>
      <c r="X242" s="112">
        <f>U242+T242</f>
        <v>24863019.960000001</v>
      </c>
      <c r="Y242" s="112">
        <v>0</v>
      </c>
      <c r="Z242" s="112">
        <f>W242+V242</f>
        <v>24863019.960000001</v>
      </c>
    </row>
    <row r="243" spans="1:26" ht="38.25" x14ac:dyDescent="0.2">
      <c r="A243" s="193"/>
      <c r="B243" s="251" t="s">
        <v>249</v>
      </c>
      <c r="C243" s="10" t="s">
        <v>1</v>
      </c>
      <c r="D243" s="14" t="s">
        <v>83</v>
      </c>
      <c r="E243" s="10" t="s">
        <v>83</v>
      </c>
      <c r="F243" s="10" t="s">
        <v>83</v>
      </c>
      <c r="G243" s="15" t="s">
        <v>154</v>
      </c>
      <c r="H243" s="11" t="s">
        <v>83</v>
      </c>
      <c r="I243" s="96"/>
      <c r="J243" s="40">
        <f t="shared" ref="J243:Y244" si="102">J244</f>
        <v>268000</v>
      </c>
      <c r="K243" s="97">
        <f t="shared" si="102"/>
        <v>0</v>
      </c>
      <c r="L243" s="98">
        <f t="shared" si="102"/>
        <v>268000</v>
      </c>
      <c r="M243" s="98">
        <f t="shared" si="102"/>
        <v>0</v>
      </c>
      <c r="N243" s="98">
        <f t="shared" si="102"/>
        <v>268000</v>
      </c>
      <c r="O243" s="98">
        <f t="shared" si="102"/>
        <v>268000</v>
      </c>
      <c r="P243" s="98">
        <f t="shared" si="102"/>
        <v>0</v>
      </c>
      <c r="Q243" s="98">
        <f t="shared" si="102"/>
        <v>0</v>
      </c>
      <c r="R243" s="98">
        <f t="shared" si="102"/>
        <v>268000</v>
      </c>
      <c r="S243" s="98">
        <f t="shared" si="102"/>
        <v>268000</v>
      </c>
      <c r="T243" s="99">
        <f t="shared" si="102"/>
        <v>268000</v>
      </c>
      <c r="U243" s="99">
        <f t="shared" si="102"/>
        <v>0</v>
      </c>
      <c r="V243" s="98">
        <f t="shared" si="102"/>
        <v>0</v>
      </c>
      <c r="W243" s="98">
        <f t="shared" si="102"/>
        <v>268000</v>
      </c>
      <c r="X243" s="99">
        <f t="shared" si="102"/>
        <v>268000</v>
      </c>
      <c r="Y243" s="99">
        <f t="shared" si="102"/>
        <v>0</v>
      </c>
      <c r="Z243" s="99">
        <f>Z244</f>
        <v>268000</v>
      </c>
    </row>
    <row r="244" spans="1:26" ht="25.5" x14ac:dyDescent="0.2">
      <c r="A244" s="193"/>
      <c r="B244" s="250" t="s">
        <v>21</v>
      </c>
      <c r="C244" s="10" t="s">
        <v>1</v>
      </c>
      <c r="D244" s="14" t="s">
        <v>83</v>
      </c>
      <c r="E244" s="10" t="s">
        <v>83</v>
      </c>
      <c r="F244" s="10" t="s">
        <v>83</v>
      </c>
      <c r="G244" s="15" t="s">
        <v>154</v>
      </c>
      <c r="H244" s="11" t="s">
        <v>83</v>
      </c>
      <c r="I244" s="96" t="s">
        <v>96</v>
      </c>
      <c r="J244" s="40">
        <f t="shared" si="102"/>
        <v>268000</v>
      </c>
      <c r="K244" s="97">
        <f t="shared" si="102"/>
        <v>0</v>
      </c>
      <c r="L244" s="98">
        <f t="shared" si="102"/>
        <v>268000</v>
      </c>
      <c r="M244" s="98">
        <f t="shared" si="102"/>
        <v>0</v>
      </c>
      <c r="N244" s="98">
        <f t="shared" si="102"/>
        <v>268000</v>
      </c>
      <c r="O244" s="98">
        <f t="shared" si="102"/>
        <v>268000</v>
      </c>
      <c r="P244" s="98">
        <f t="shared" si="102"/>
        <v>0</v>
      </c>
      <c r="Q244" s="98">
        <f t="shared" si="102"/>
        <v>0</v>
      </c>
      <c r="R244" s="98">
        <f t="shared" si="102"/>
        <v>268000</v>
      </c>
      <c r="S244" s="98">
        <f t="shared" si="102"/>
        <v>268000</v>
      </c>
      <c r="T244" s="99">
        <f t="shared" si="102"/>
        <v>268000</v>
      </c>
      <c r="U244" s="99">
        <f t="shared" si="102"/>
        <v>0</v>
      </c>
      <c r="V244" s="98">
        <f t="shared" si="102"/>
        <v>0</v>
      </c>
      <c r="W244" s="98">
        <f t="shared" si="102"/>
        <v>268000</v>
      </c>
      <c r="X244" s="99">
        <f t="shared" si="102"/>
        <v>268000</v>
      </c>
      <c r="Y244" s="99">
        <f>Y245</f>
        <v>0</v>
      </c>
      <c r="Z244" s="99">
        <f>Z245</f>
        <v>268000</v>
      </c>
    </row>
    <row r="245" spans="1:26" x14ac:dyDescent="0.2">
      <c r="A245" s="193"/>
      <c r="B245" s="250" t="s">
        <v>22</v>
      </c>
      <c r="C245" s="10" t="s">
        <v>1</v>
      </c>
      <c r="D245" s="14" t="s">
        <v>83</v>
      </c>
      <c r="E245" s="10" t="s">
        <v>83</v>
      </c>
      <c r="F245" s="10" t="s">
        <v>83</v>
      </c>
      <c r="G245" s="15" t="s">
        <v>154</v>
      </c>
      <c r="H245" s="11" t="s">
        <v>83</v>
      </c>
      <c r="I245" s="96" t="s">
        <v>23</v>
      </c>
      <c r="J245" s="40">
        <v>268000</v>
      </c>
      <c r="K245" s="97">
        <v>0</v>
      </c>
      <c r="L245" s="112">
        <v>268000</v>
      </c>
      <c r="M245" s="112">
        <v>0</v>
      </c>
      <c r="N245" s="112">
        <v>268000</v>
      </c>
      <c r="O245" s="112">
        <v>268000</v>
      </c>
      <c r="P245" s="112">
        <v>0</v>
      </c>
      <c r="Q245" s="112">
        <v>0</v>
      </c>
      <c r="R245" s="112">
        <v>268000</v>
      </c>
      <c r="S245" s="112">
        <v>268000</v>
      </c>
      <c r="T245" s="113">
        <v>268000</v>
      </c>
      <c r="U245" s="113">
        <v>0</v>
      </c>
      <c r="V245" s="112">
        <v>0</v>
      </c>
      <c r="W245" s="112">
        <v>268000</v>
      </c>
      <c r="X245" s="113">
        <v>268000</v>
      </c>
      <c r="Y245" s="113">
        <v>0</v>
      </c>
      <c r="Z245" s="113">
        <v>268000</v>
      </c>
    </row>
    <row r="246" spans="1:26" ht="38.25" x14ac:dyDescent="0.2">
      <c r="A246" s="193"/>
      <c r="B246" s="250" t="s">
        <v>151</v>
      </c>
      <c r="C246" s="10" t="s">
        <v>1</v>
      </c>
      <c r="D246" s="14" t="s">
        <v>83</v>
      </c>
      <c r="E246" s="10" t="s">
        <v>83</v>
      </c>
      <c r="F246" s="10" t="s">
        <v>83</v>
      </c>
      <c r="G246" s="15" t="s">
        <v>149</v>
      </c>
      <c r="H246" s="11" t="s">
        <v>83</v>
      </c>
      <c r="I246" s="96"/>
      <c r="J246" s="40">
        <f t="shared" ref="J246:X246" si="103">J247+J255</f>
        <v>8180620</v>
      </c>
      <c r="K246" s="97">
        <f t="shared" si="103"/>
        <v>0</v>
      </c>
      <c r="L246" s="98">
        <f t="shared" si="103"/>
        <v>14101820</v>
      </c>
      <c r="M246" s="98">
        <f t="shared" si="103"/>
        <v>-454300</v>
      </c>
      <c r="N246" s="98">
        <f t="shared" si="103"/>
        <v>13647520</v>
      </c>
      <c r="O246" s="98">
        <f t="shared" si="103"/>
        <v>14534160</v>
      </c>
      <c r="P246" s="98">
        <f t="shared" si="103"/>
        <v>-429340</v>
      </c>
      <c r="Q246" s="98">
        <f>Q247+Q255</f>
        <v>0</v>
      </c>
      <c r="R246" s="98">
        <f>R247+R255</f>
        <v>13647520</v>
      </c>
      <c r="S246" s="98">
        <f t="shared" si="103"/>
        <v>14104820</v>
      </c>
      <c r="T246" s="99">
        <f t="shared" si="103"/>
        <v>15021720</v>
      </c>
      <c r="U246" s="99">
        <f t="shared" si="103"/>
        <v>-429340</v>
      </c>
      <c r="V246" s="98">
        <f>V247+V255</f>
        <v>0</v>
      </c>
      <c r="W246" s="98">
        <f>W247+W255</f>
        <v>14104820</v>
      </c>
      <c r="X246" s="99">
        <f t="shared" si="103"/>
        <v>14592380</v>
      </c>
      <c r="Y246" s="99">
        <f>Y247+Y255</f>
        <v>0</v>
      </c>
      <c r="Z246" s="99">
        <f>Z247+Z255</f>
        <v>14592380</v>
      </c>
    </row>
    <row r="247" spans="1:26" ht="25.5" x14ac:dyDescent="0.2">
      <c r="A247" s="193"/>
      <c r="B247" s="250" t="s">
        <v>21</v>
      </c>
      <c r="C247" s="10" t="s">
        <v>1</v>
      </c>
      <c r="D247" s="14" t="s">
        <v>83</v>
      </c>
      <c r="E247" s="10" t="s">
        <v>83</v>
      </c>
      <c r="F247" s="10" t="s">
        <v>83</v>
      </c>
      <c r="G247" s="15" t="s">
        <v>149</v>
      </c>
      <c r="H247" s="11" t="s">
        <v>83</v>
      </c>
      <c r="I247" s="96">
        <v>600</v>
      </c>
      <c r="J247" s="40">
        <f t="shared" ref="J247:X247" si="104">J248+J253+J254</f>
        <v>8089646</v>
      </c>
      <c r="K247" s="97">
        <f t="shared" si="104"/>
        <v>-0.08</v>
      </c>
      <c r="L247" s="98">
        <f t="shared" si="104"/>
        <v>13843872</v>
      </c>
      <c r="M247" s="98">
        <f t="shared" si="104"/>
        <v>-328602</v>
      </c>
      <c r="N247" s="98">
        <f t="shared" si="104"/>
        <v>13515270</v>
      </c>
      <c r="O247" s="98">
        <f t="shared" si="104"/>
        <v>14268303</v>
      </c>
      <c r="P247" s="98">
        <f t="shared" si="104"/>
        <v>-300166</v>
      </c>
      <c r="Q247" s="98">
        <f>Q248+Q253+Q254</f>
        <v>0</v>
      </c>
      <c r="R247" s="98">
        <f>R248+R253+R254</f>
        <v>13515270</v>
      </c>
      <c r="S247" s="98">
        <f t="shared" si="104"/>
        <v>13968137</v>
      </c>
      <c r="T247" s="99">
        <f t="shared" si="104"/>
        <v>14746947</v>
      </c>
      <c r="U247" s="99">
        <f t="shared" si="104"/>
        <v>-295970</v>
      </c>
      <c r="V247" s="98">
        <f>V248+V253+V254</f>
        <v>0</v>
      </c>
      <c r="W247" s="98">
        <f>W248+W253+W254</f>
        <v>13968137</v>
      </c>
      <c r="X247" s="99">
        <f t="shared" si="104"/>
        <v>14450977</v>
      </c>
      <c r="Y247" s="99">
        <f>Y248+Y253+Y254</f>
        <v>0</v>
      </c>
      <c r="Z247" s="99">
        <f>Z248+Z253+Z254</f>
        <v>14450977</v>
      </c>
    </row>
    <row r="248" spans="1:26" x14ac:dyDescent="0.2">
      <c r="A248" s="193"/>
      <c r="B248" s="250" t="s">
        <v>22</v>
      </c>
      <c r="C248" s="10" t="s">
        <v>1</v>
      </c>
      <c r="D248" s="14" t="s">
        <v>83</v>
      </c>
      <c r="E248" s="10" t="s">
        <v>83</v>
      </c>
      <c r="F248" s="10" t="s">
        <v>83</v>
      </c>
      <c r="G248" s="15" t="s">
        <v>149</v>
      </c>
      <c r="H248" s="11" t="s">
        <v>83</v>
      </c>
      <c r="I248" s="96" t="s">
        <v>23</v>
      </c>
      <c r="J248" s="8">
        <f>7815746+91300</f>
        <v>7907046</v>
      </c>
      <c r="K248" s="111">
        <v>-0.08</v>
      </c>
      <c r="L248" s="112">
        <f>257947+13070031</f>
        <v>13327978</v>
      </c>
      <c r="M248" s="112">
        <f>-125697+48489</f>
        <v>-77208</v>
      </c>
      <c r="N248" s="112">
        <f>M248+L248</f>
        <v>13250770</v>
      </c>
      <c r="O248" s="111">
        <f>265855+13470738</f>
        <v>13736593</v>
      </c>
      <c r="P248" s="112">
        <f>-129174+87356</f>
        <v>-41818</v>
      </c>
      <c r="Q248" s="112">
        <v>0</v>
      </c>
      <c r="R248" s="112">
        <v>13250770</v>
      </c>
      <c r="S248" s="112">
        <f>P248+O248</f>
        <v>13694775</v>
      </c>
      <c r="T248" s="112">
        <f>274774+13922625</f>
        <v>14197399</v>
      </c>
      <c r="U248" s="112">
        <f>-133367+104131</f>
        <v>-29236</v>
      </c>
      <c r="V248" s="112">
        <v>0</v>
      </c>
      <c r="W248" s="112">
        <v>13694775</v>
      </c>
      <c r="X248" s="112">
        <f>U248+T248</f>
        <v>14168163</v>
      </c>
      <c r="Y248" s="112">
        <v>0</v>
      </c>
      <c r="Z248" s="112">
        <v>14168163</v>
      </c>
    </row>
    <row r="249" spans="1:26" hidden="1" x14ac:dyDescent="0.2">
      <c r="A249" s="193"/>
      <c r="B249" s="250" t="s">
        <v>152</v>
      </c>
      <c r="C249" s="10" t="s">
        <v>1</v>
      </c>
      <c r="D249" s="14" t="s">
        <v>83</v>
      </c>
      <c r="E249" s="10" t="s">
        <v>83</v>
      </c>
      <c r="F249" s="10" t="s">
        <v>83</v>
      </c>
      <c r="G249" s="15" t="s">
        <v>149</v>
      </c>
      <c r="H249" s="11" t="s">
        <v>83</v>
      </c>
      <c r="I249" s="96" t="s">
        <v>150</v>
      </c>
      <c r="J249" s="8">
        <v>91300</v>
      </c>
      <c r="K249" s="111">
        <v>91300</v>
      </c>
      <c r="L249" s="112">
        <v>257947</v>
      </c>
      <c r="M249" s="112">
        <v>-125697</v>
      </c>
      <c r="N249" s="112">
        <f>M249+L249</f>
        <v>132250</v>
      </c>
      <c r="O249" s="111">
        <v>265855</v>
      </c>
      <c r="P249" s="112">
        <v>-129174</v>
      </c>
      <c r="Q249" s="112">
        <f>P249+O249</f>
        <v>136681</v>
      </c>
      <c r="R249" s="112">
        <f>Q249+P249</f>
        <v>7507</v>
      </c>
      <c r="S249" s="112">
        <f>P249+O249</f>
        <v>136681</v>
      </c>
      <c r="T249" s="112">
        <v>274774</v>
      </c>
      <c r="U249" s="112">
        <v>-133367</v>
      </c>
      <c r="V249" s="112">
        <f>S249+R249</f>
        <v>144188</v>
      </c>
      <c r="W249" s="112">
        <f>T249+S249</f>
        <v>411455</v>
      </c>
      <c r="X249" s="112">
        <f>U249+T249</f>
        <v>141407</v>
      </c>
      <c r="Y249" s="112">
        <f>V249+U249</f>
        <v>10821</v>
      </c>
      <c r="Z249" s="112">
        <f>W249+V249</f>
        <v>555643</v>
      </c>
    </row>
    <row r="250" spans="1:26" ht="38.25" hidden="1" x14ac:dyDescent="0.2">
      <c r="A250" s="193"/>
      <c r="B250" s="250" t="s">
        <v>141</v>
      </c>
      <c r="C250" s="10" t="s">
        <v>1</v>
      </c>
      <c r="D250" s="14" t="s">
        <v>83</v>
      </c>
      <c r="E250" s="10" t="s">
        <v>83</v>
      </c>
      <c r="F250" s="10" t="s">
        <v>83</v>
      </c>
      <c r="G250" s="15" t="s">
        <v>149</v>
      </c>
      <c r="H250" s="11" t="s">
        <v>83</v>
      </c>
      <c r="I250" s="96" t="s">
        <v>102</v>
      </c>
      <c r="J250" s="8">
        <v>91300</v>
      </c>
      <c r="K250" s="111">
        <v>91300</v>
      </c>
      <c r="L250" s="112">
        <v>257947</v>
      </c>
      <c r="M250" s="112">
        <v>-125697</v>
      </c>
      <c r="N250" s="112">
        <f>M250+L250</f>
        <v>132250</v>
      </c>
      <c r="O250" s="111">
        <v>265855</v>
      </c>
      <c r="P250" s="112">
        <v>-129174</v>
      </c>
      <c r="Q250" s="112">
        <f>P250+O250</f>
        <v>136681</v>
      </c>
      <c r="R250" s="112">
        <f>Q250+P250</f>
        <v>7507</v>
      </c>
      <c r="S250" s="112">
        <f>P250+O250</f>
        <v>136681</v>
      </c>
      <c r="T250" s="112">
        <v>274774</v>
      </c>
      <c r="U250" s="112">
        <v>-133367</v>
      </c>
      <c r="V250" s="112">
        <f>S250+R250</f>
        <v>144188</v>
      </c>
      <c r="W250" s="112">
        <f>T250+S250</f>
        <v>411455</v>
      </c>
      <c r="X250" s="112">
        <f>U250+T250</f>
        <v>141407</v>
      </c>
      <c r="Y250" s="112">
        <f>V250+U250</f>
        <v>10821</v>
      </c>
      <c r="Z250" s="112">
        <f>W250+V250</f>
        <v>555643</v>
      </c>
    </row>
    <row r="251" spans="1:26" hidden="1" x14ac:dyDescent="0.2">
      <c r="A251" s="193"/>
      <c r="B251" s="250" t="s">
        <v>52</v>
      </c>
      <c r="C251" s="10" t="s">
        <v>1</v>
      </c>
      <c r="D251" s="14" t="s">
        <v>83</v>
      </c>
      <c r="E251" s="10" t="s">
        <v>83</v>
      </c>
      <c r="F251" s="10" t="s">
        <v>83</v>
      </c>
      <c r="G251" s="15" t="s">
        <v>149</v>
      </c>
      <c r="H251" s="11" t="s">
        <v>83</v>
      </c>
      <c r="I251" s="96" t="s">
        <v>53</v>
      </c>
      <c r="J251" s="8">
        <f t="shared" ref="J251:Z251" si="105">J252</f>
        <v>90974</v>
      </c>
      <c r="K251" s="111">
        <f t="shared" si="105"/>
        <v>90974</v>
      </c>
      <c r="L251" s="112">
        <f t="shared" si="105"/>
        <v>257948</v>
      </c>
      <c r="M251" s="112">
        <f t="shared" si="105"/>
        <v>-125698</v>
      </c>
      <c r="N251" s="112">
        <f t="shared" si="105"/>
        <v>132250</v>
      </c>
      <c r="O251" s="111">
        <f t="shared" si="105"/>
        <v>265857</v>
      </c>
      <c r="P251" s="112">
        <f t="shared" si="105"/>
        <v>-129174</v>
      </c>
      <c r="Q251" s="112">
        <f t="shared" si="105"/>
        <v>136683</v>
      </c>
      <c r="R251" s="112">
        <f t="shared" si="105"/>
        <v>7509</v>
      </c>
      <c r="S251" s="112">
        <f t="shared" si="105"/>
        <v>136683</v>
      </c>
      <c r="T251" s="112">
        <f t="shared" si="105"/>
        <v>274773</v>
      </c>
      <c r="U251" s="112">
        <f t="shared" si="105"/>
        <v>-133370</v>
      </c>
      <c r="V251" s="112">
        <f t="shared" si="105"/>
        <v>144192</v>
      </c>
      <c r="W251" s="112">
        <f t="shared" si="105"/>
        <v>411456</v>
      </c>
      <c r="X251" s="112">
        <f t="shared" si="105"/>
        <v>141403</v>
      </c>
      <c r="Y251" s="112">
        <f t="shared" si="105"/>
        <v>10822</v>
      </c>
      <c r="Z251" s="112">
        <f t="shared" si="105"/>
        <v>555648</v>
      </c>
    </row>
    <row r="252" spans="1:26" ht="38.25" hidden="1" x14ac:dyDescent="0.2">
      <c r="A252" s="193"/>
      <c r="B252" s="250" t="s">
        <v>113</v>
      </c>
      <c r="C252" s="10" t="s">
        <v>1</v>
      </c>
      <c r="D252" s="14" t="s">
        <v>83</v>
      </c>
      <c r="E252" s="10" t="s">
        <v>83</v>
      </c>
      <c r="F252" s="10" t="s">
        <v>83</v>
      </c>
      <c r="G252" s="15" t="s">
        <v>149</v>
      </c>
      <c r="H252" s="11" t="s">
        <v>83</v>
      </c>
      <c r="I252" s="96" t="s">
        <v>88</v>
      </c>
      <c r="J252" s="8">
        <v>90974</v>
      </c>
      <c r="K252" s="111">
        <v>90974</v>
      </c>
      <c r="L252" s="112">
        <v>257948</v>
      </c>
      <c r="M252" s="112">
        <v>-125698</v>
      </c>
      <c r="N252" s="112">
        <f>M252+L252</f>
        <v>132250</v>
      </c>
      <c r="O252" s="111">
        <v>265857</v>
      </c>
      <c r="P252" s="112">
        <v>-129174</v>
      </c>
      <c r="Q252" s="112">
        <f>P252+O252</f>
        <v>136683</v>
      </c>
      <c r="R252" s="112">
        <f>Q252+P252</f>
        <v>7509</v>
      </c>
      <c r="S252" s="112">
        <f>P252+O252</f>
        <v>136683</v>
      </c>
      <c r="T252" s="112">
        <v>274773</v>
      </c>
      <c r="U252" s="112">
        <v>-133370</v>
      </c>
      <c r="V252" s="112">
        <f>S252+R252</f>
        <v>144192</v>
      </c>
      <c r="W252" s="112">
        <f>T252+S252</f>
        <v>411456</v>
      </c>
      <c r="X252" s="112">
        <f>U252+T252</f>
        <v>141403</v>
      </c>
      <c r="Y252" s="112">
        <f>V252+U252</f>
        <v>10822</v>
      </c>
      <c r="Z252" s="112">
        <f>W252+V252</f>
        <v>555648</v>
      </c>
    </row>
    <row r="253" spans="1:26" ht="21.75" customHeight="1" x14ac:dyDescent="0.2">
      <c r="A253" s="193"/>
      <c r="B253" s="250" t="s">
        <v>157</v>
      </c>
      <c r="C253" s="10" t="s">
        <v>1</v>
      </c>
      <c r="D253" s="14" t="s">
        <v>83</v>
      </c>
      <c r="E253" s="10" t="s">
        <v>83</v>
      </c>
      <c r="F253" s="10" t="s">
        <v>83</v>
      </c>
      <c r="G253" s="15" t="s">
        <v>149</v>
      </c>
      <c r="H253" s="11" t="s">
        <v>83</v>
      </c>
      <c r="I253" s="96" t="s">
        <v>150</v>
      </c>
      <c r="J253" s="8">
        <v>91300</v>
      </c>
      <c r="K253" s="111">
        <v>0</v>
      </c>
      <c r="L253" s="112">
        <v>257947</v>
      </c>
      <c r="M253" s="112">
        <v>-125697</v>
      </c>
      <c r="N253" s="112">
        <f>M253+L253</f>
        <v>132250</v>
      </c>
      <c r="O253" s="111">
        <v>265855</v>
      </c>
      <c r="P253" s="112">
        <v>-129174</v>
      </c>
      <c r="Q253" s="112">
        <v>0</v>
      </c>
      <c r="R253" s="112">
        <v>132250</v>
      </c>
      <c r="S253" s="112">
        <f>P253+O253</f>
        <v>136681</v>
      </c>
      <c r="T253" s="112">
        <v>274774</v>
      </c>
      <c r="U253" s="112">
        <v>-133367</v>
      </c>
      <c r="V253" s="112">
        <v>0</v>
      </c>
      <c r="W253" s="112">
        <v>136681</v>
      </c>
      <c r="X253" s="112">
        <f>U253+T253</f>
        <v>141407</v>
      </c>
      <c r="Y253" s="112">
        <v>0</v>
      </c>
      <c r="Z253" s="112">
        <v>141407</v>
      </c>
    </row>
    <row r="254" spans="1:26" ht="38.25" x14ac:dyDescent="0.2">
      <c r="A254" s="193"/>
      <c r="B254" s="250" t="s">
        <v>141</v>
      </c>
      <c r="C254" s="10" t="s">
        <v>1</v>
      </c>
      <c r="D254" s="14" t="s">
        <v>83</v>
      </c>
      <c r="E254" s="10" t="s">
        <v>83</v>
      </c>
      <c r="F254" s="10" t="s">
        <v>83</v>
      </c>
      <c r="G254" s="15" t="s">
        <v>149</v>
      </c>
      <c r="H254" s="11" t="s">
        <v>83</v>
      </c>
      <c r="I254" s="96" t="s">
        <v>102</v>
      </c>
      <c r="J254" s="8">
        <v>91300</v>
      </c>
      <c r="K254" s="111">
        <v>0</v>
      </c>
      <c r="L254" s="112">
        <v>257947</v>
      </c>
      <c r="M254" s="112">
        <v>-125697</v>
      </c>
      <c r="N254" s="112">
        <f>M254+L254</f>
        <v>132250</v>
      </c>
      <c r="O254" s="111">
        <v>265855</v>
      </c>
      <c r="P254" s="112">
        <v>-129174</v>
      </c>
      <c r="Q254" s="112">
        <v>0</v>
      </c>
      <c r="R254" s="112">
        <v>132250</v>
      </c>
      <c r="S254" s="112">
        <f>P254+O254</f>
        <v>136681</v>
      </c>
      <c r="T254" s="112">
        <v>274774</v>
      </c>
      <c r="U254" s="112">
        <v>-133367</v>
      </c>
      <c r="V254" s="112">
        <v>0</v>
      </c>
      <c r="W254" s="112">
        <v>136681</v>
      </c>
      <c r="X254" s="112">
        <f>U254+T254</f>
        <v>141407</v>
      </c>
      <c r="Y254" s="112">
        <v>0</v>
      </c>
      <c r="Z254" s="112">
        <v>141407</v>
      </c>
    </row>
    <row r="255" spans="1:26" x14ac:dyDescent="0.2">
      <c r="A255" s="193"/>
      <c r="B255" s="250" t="s">
        <v>52</v>
      </c>
      <c r="C255" s="10" t="s">
        <v>1</v>
      </c>
      <c r="D255" s="14" t="s">
        <v>83</v>
      </c>
      <c r="E255" s="10" t="s">
        <v>83</v>
      </c>
      <c r="F255" s="10" t="s">
        <v>83</v>
      </c>
      <c r="G255" s="15" t="s">
        <v>149</v>
      </c>
      <c r="H255" s="11" t="s">
        <v>83</v>
      </c>
      <c r="I255" s="96" t="s">
        <v>53</v>
      </c>
      <c r="J255" s="8">
        <f t="shared" ref="J255:Z255" si="106">J256</f>
        <v>90974</v>
      </c>
      <c r="K255" s="111">
        <f t="shared" si="106"/>
        <v>0.08</v>
      </c>
      <c r="L255" s="112">
        <f t="shared" si="106"/>
        <v>257948</v>
      </c>
      <c r="M255" s="112">
        <f t="shared" si="106"/>
        <v>-125698</v>
      </c>
      <c r="N255" s="112">
        <f t="shared" si="106"/>
        <v>132250</v>
      </c>
      <c r="O255" s="111">
        <f t="shared" si="106"/>
        <v>265857</v>
      </c>
      <c r="P255" s="112">
        <f t="shared" si="106"/>
        <v>-129174</v>
      </c>
      <c r="Q255" s="112">
        <f t="shared" si="106"/>
        <v>0</v>
      </c>
      <c r="R255" s="112">
        <f t="shared" si="106"/>
        <v>132250</v>
      </c>
      <c r="S255" s="112">
        <f t="shared" si="106"/>
        <v>136683</v>
      </c>
      <c r="T255" s="112">
        <f t="shared" si="106"/>
        <v>274773</v>
      </c>
      <c r="U255" s="112">
        <f t="shared" si="106"/>
        <v>-133370</v>
      </c>
      <c r="V255" s="112">
        <f t="shared" si="106"/>
        <v>0</v>
      </c>
      <c r="W255" s="112">
        <f t="shared" si="106"/>
        <v>136683</v>
      </c>
      <c r="X255" s="112">
        <f t="shared" si="106"/>
        <v>141403</v>
      </c>
      <c r="Y255" s="112">
        <f t="shared" si="106"/>
        <v>0</v>
      </c>
      <c r="Z255" s="112">
        <f t="shared" si="106"/>
        <v>141403</v>
      </c>
    </row>
    <row r="256" spans="1:26" ht="38.25" x14ac:dyDescent="0.2">
      <c r="A256" s="193"/>
      <c r="B256" s="250" t="s">
        <v>113</v>
      </c>
      <c r="C256" s="10" t="s">
        <v>1</v>
      </c>
      <c r="D256" s="14" t="s">
        <v>83</v>
      </c>
      <c r="E256" s="10" t="s">
        <v>83</v>
      </c>
      <c r="F256" s="10" t="s">
        <v>83</v>
      </c>
      <c r="G256" s="15" t="s">
        <v>149</v>
      </c>
      <c r="H256" s="10" t="s">
        <v>83</v>
      </c>
      <c r="I256" s="96" t="s">
        <v>88</v>
      </c>
      <c r="J256" s="8">
        <v>90974</v>
      </c>
      <c r="K256" s="111">
        <v>0.08</v>
      </c>
      <c r="L256" s="112">
        <v>257948</v>
      </c>
      <c r="M256" s="112">
        <v>-125698</v>
      </c>
      <c r="N256" s="112">
        <f>M256+L256</f>
        <v>132250</v>
      </c>
      <c r="O256" s="111">
        <v>265857</v>
      </c>
      <c r="P256" s="112">
        <v>-129174</v>
      </c>
      <c r="Q256" s="112">
        <v>0</v>
      </c>
      <c r="R256" s="112">
        <v>132250</v>
      </c>
      <c r="S256" s="113">
        <f>P256+O256</f>
        <v>136683</v>
      </c>
      <c r="T256" s="112">
        <v>274773</v>
      </c>
      <c r="U256" s="112">
        <v>-133370</v>
      </c>
      <c r="V256" s="112">
        <v>0</v>
      </c>
      <c r="W256" s="112">
        <v>136683</v>
      </c>
      <c r="X256" s="112">
        <f>U256+T256</f>
        <v>141403</v>
      </c>
      <c r="Y256" s="112">
        <v>0</v>
      </c>
      <c r="Z256" s="112">
        <v>141403</v>
      </c>
    </row>
    <row r="257" spans="1:26" ht="25.5" customHeight="1" x14ac:dyDescent="0.2">
      <c r="A257" s="193"/>
      <c r="B257" s="95" t="s">
        <v>304</v>
      </c>
      <c r="C257" s="20" t="s">
        <v>1</v>
      </c>
      <c r="D257" s="23" t="s">
        <v>83</v>
      </c>
      <c r="E257" s="10" t="s">
        <v>83</v>
      </c>
      <c r="F257" s="10" t="s">
        <v>83</v>
      </c>
      <c r="G257" s="15" t="s">
        <v>305</v>
      </c>
      <c r="H257" s="11" t="s">
        <v>83</v>
      </c>
      <c r="I257" s="96"/>
      <c r="J257" s="12"/>
      <c r="K257" s="13"/>
      <c r="L257" s="12"/>
      <c r="M257" s="12"/>
      <c r="N257" s="104">
        <f t="shared" ref="N257:Z258" si="107">N258</f>
        <v>0</v>
      </c>
      <c r="O257" s="288">
        <f t="shared" si="107"/>
        <v>0</v>
      </c>
      <c r="P257" s="13">
        <f t="shared" si="107"/>
        <v>0</v>
      </c>
      <c r="Q257" s="103">
        <f t="shared" si="107"/>
        <v>1181720.43</v>
      </c>
      <c r="R257" s="104">
        <f t="shared" si="107"/>
        <v>1181720.43</v>
      </c>
      <c r="S257" s="105">
        <f t="shared" si="107"/>
        <v>0</v>
      </c>
      <c r="T257" s="288">
        <f t="shared" si="107"/>
        <v>0</v>
      </c>
      <c r="U257" s="103"/>
      <c r="V257" s="104">
        <f t="shared" si="107"/>
        <v>0</v>
      </c>
      <c r="W257" s="104">
        <f t="shared" si="107"/>
        <v>0</v>
      </c>
      <c r="X257" s="104">
        <f t="shared" si="107"/>
        <v>0</v>
      </c>
      <c r="Y257" s="104">
        <f t="shared" si="107"/>
        <v>0</v>
      </c>
      <c r="Z257" s="105">
        <f t="shared" si="107"/>
        <v>0</v>
      </c>
    </row>
    <row r="258" spans="1:26" ht="33" customHeight="1" x14ac:dyDescent="0.2">
      <c r="A258" s="193"/>
      <c r="B258" s="100" t="s">
        <v>21</v>
      </c>
      <c r="C258" s="20" t="s">
        <v>1</v>
      </c>
      <c r="D258" s="23" t="s">
        <v>83</v>
      </c>
      <c r="E258" s="10" t="s">
        <v>83</v>
      </c>
      <c r="F258" s="10" t="s">
        <v>83</v>
      </c>
      <c r="G258" s="15" t="s">
        <v>305</v>
      </c>
      <c r="H258" s="11" t="s">
        <v>83</v>
      </c>
      <c r="I258" s="96" t="s">
        <v>96</v>
      </c>
      <c r="J258" s="12"/>
      <c r="K258" s="13"/>
      <c r="L258" s="12"/>
      <c r="M258" s="12"/>
      <c r="N258" s="104">
        <f t="shared" si="107"/>
        <v>0</v>
      </c>
      <c r="O258" s="288">
        <f t="shared" si="107"/>
        <v>0</v>
      </c>
      <c r="P258" s="13">
        <f t="shared" si="107"/>
        <v>0</v>
      </c>
      <c r="Q258" s="103">
        <f t="shared" si="107"/>
        <v>1181720.43</v>
      </c>
      <c r="R258" s="104">
        <f t="shared" si="107"/>
        <v>1181720.43</v>
      </c>
      <c r="S258" s="105">
        <f t="shared" si="107"/>
        <v>0</v>
      </c>
      <c r="T258" s="288">
        <f t="shared" si="107"/>
        <v>0</v>
      </c>
      <c r="U258" s="103"/>
      <c r="V258" s="104">
        <f t="shared" si="107"/>
        <v>0</v>
      </c>
      <c r="W258" s="104">
        <f t="shared" si="107"/>
        <v>0</v>
      </c>
      <c r="X258" s="104">
        <f t="shared" si="107"/>
        <v>0</v>
      </c>
      <c r="Y258" s="104">
        <f t="shared" si="107"/>
        <v>0</v>
      </c>
      <c r="Z258" s="104">
        <f t="shared" si="107"/>
        <v>0</v>
      </c>
    </row>
    <row r="259" spans="1:26" x14ac:dyDescent="0.2">
      <c r="A259" s="193"/>
      <c r="B259" s="100" t="s">
        <v>22</v>
      </c>
      <c r="C259" s="20" t="s">
        <v>1</v>
      </c>
      <c r="D259" s="23" t="s">
        <v>83</v>
      </c>
      <c r="E259" s="10" t="s">
        <v>83</v>
      </c>
      <c r="F259" s="10" t="s">
        <v>83</v>
      </c>
      <c r="G259" s="15" t="s">
        <v>305</v>
      </c>
      <c r="H259" s="11" t="s">
        <v>83</v>
      </c>
      <c r="I259" s="96" t="s">
        <v>23</v>
      </c>
      <c r="J259" s="12"/>
      <c r="K259" s="13"/>
      <c r="L259" s="12"/>
      <c r="M259" s="12"/>
      <c r="N259" s="104">
        <v>0</v>
      </c>
      <c r="O259" s="288">
        <v>0</v>
      </c>
      <c r="P259" s="13">
        <v>0</v>
      </c>
      <c r="Q259" s="103">
        <v>1181720.43</v>
      </c>
      <c r="R259" s="104">
        <f>Q259</f>
        <v>1181720.43</v>
      </c>
      <c r="S259" s="105">
        <v>0</v>
      </c>
      <c r="T259" s="288">
        <v>0</v>
      </c>
      <c r="U259" s="103"/>
      <c r="V259" s="104">
        <v>0</v>
      </c>
      <c r="W259" s="104">
        <v>0</v>
      </c>
      <c r="X259" s="104">
        <v>0</v>
      </c>
      <c r="Y259" s="104">
        <v>0</v>
      </c>
      <c r="Z259" s="104">
        <v>0</v>
      </c>
    </row>
    <row r="260" spans="1:26" ht="76.5" x14ac:dyDescent="0.2">
      <c r="A260" s="193"/>
      <c r="B260" s="250" t="s">
        <v>200</v>
      </c>
      <c r="C260" s="16" t="s">
        <v>1</v>
      </c>
      <c r="D260" s="16" t="s">
        <v>83</v>
      </c>
      <c r="E260" s="16" t="s">
        <v>83</v>
      </c>
      <c r="F260" s="16" t="s">
        <v>83</v>
      </c>
      <c r="G260" s="16" t="s">
        <v>199</v>
      </c>
      <c r="H260" s="11" t="s">
        <v>83</v>
      </c>
      <c r="I260" s="102"/>
      <c r="J260" s="40" t="e">
        <f>#REF!+J261</f>
        <v>#REF!</v>
      </c>
      <c r="K260" s="97" t="e">
        <f>#REF!+K261</f>
        <v>#REF!</v>
      </c>
      <c r="L260" s="98">
        <f t="shared" ref="L260:Z261" si="108">L261</f>
        <v>2877031.5</v>
      </c>
      <c r="M260" s="98">
        <f t="shared" si="108"/>
        <v>0</v>
      </c>
      <c r="N260" s="98">
        <f t="shared" si="108"/>
        <v>2877031.5</v>
      </c>
      <c r="O260" s="98">
        <f t="shared" si="108"/>
        <v>2992119.81</v>
      </c>
      <c r="P260" s="98">
        <f t="shared" si="108"/>
        <v>0</v>
      </c>
      <c r="Q260" s="98">
        <f t="shared" si="108"/>
        <v>0</v>
      </c>
      <c r="R260" s="98">
        <f t="shared" si="108"/>
        <v>2877031.5</v>
      </c>
      <c r="S260" s="99">
        <f t="shared" si="108"/>
        <v>2992119.81</v>
      </c>
      <c r="T260" s="98">
        <f t="shared" si="108"/>
        <v>3111762.52</v>
      </c>
      <c r="U260" s="98">
        <f t="shared" si="108"/>
        <v>0</v>
      </c>
      <c r="V260" s="98">
        <f t="shared" si="108"/>
        <v>0</v>
      </c>
      <c r="W260" s="98">
        <f t="shared" si="108"/>
        <v>2992119.81</v>
      </c>
      <c r="X260" s="98">
        <f t="shared" si="108"/>
        <v>3111762.52</v>
      </c>
      <c r="Y260" s="98">
        <f t="shared" si="108"/>
        <v>0</v>
      </c>
      <c r="Z260" s="98">
        <f t="shared" si="108"/>
        <v>3111762.52</v>
      </c>
    </row>
    <row r="261" spans="1:26" ht="25.5" x14ac:dyDescent="0.2">
      <c r="A261" s="193"/>
      <c r="B261" s="250" t="s">
        <v>21</v>
      </c>
      <c r="C261" s="16" t="s">
        <v>1</v>
      </c>
      <c r="D261" s="17" t="s">
        <v>83</v>
      </c>
      <c r="E261" s="16" t="s">
        <v>83</v>
      </c>
      <c r="F261" s="16" t="s">
        <v>83</v>
      </c>
      <c r="G261" s="16" t="s">
        <v>199</v>
      </c>
      <c r="H261" s="11" t="s">
        <v>83</v>
      </c>
      <c r="I261" s="96">
        <v>600</v>
      </c>
      <c r="J261" s="40">
        <f>J262</f>
        <v>3544237.58</v>
      </c>
      <c r="K261" s="97">
        <f>K262</f>
        <v>0</v>
      </c>
      <c r="L261" s="98">
        <f t="shared" si="108"/>
        <v>2877031.5</v>
      </c>
      <c r="M261" s="98">
        <f t="shared" si="108"/>
        <v>0</v>
      </c>
      <c r="N261" s="98">
        <f t="shared" si="108"/>
        <v>2877031.5</v>
      </c>
      <c r="O261" s="98">
        <f t="shared" si="108"/>
        <v>2992119.81</v>
      </c>
      <c r="P261" s="98">
        <f t="shared" si="108"/>
        <v>0</v>
      </c>
      <c r="Q261" s="98">
        <f t="shared" si="108"/>
        <v>0</v>
      </c>
      <c r="R261" s="98">
        <f t="shared" si="108"/>
        <v>2877031.5</v>
      </c>
      <c r="S261" s="98">
        <f t="shared" si="108"/>
        <v>2992119.81</v>
      </c>
      <c r="T261" s="99">
        <f t="shared" si="108"/>
        <v>3111762.52</v>
      </c>
      <c r="U261" s="99">
        <f t="shared" si="108"/>
        <v>0</v>
      </c>
      <c r="V261" s="98">
        <f t="shared" si="108"/>
        <v>0</v>
      </c>
      <c r="W261" s="98">
        <f t="shared" si="108"/>
        <v>2992119.81</v>
      </c>
      <c r="X261" s="99">
        <f t="shared" si="108"/>
        <v>3111762.52</v>
      </c>
      <c r="Y261" s="99">
        <f t="shared" si="108"/>
        <v>0</v>
      </c>
      <c r="Z261" s="99">
        <f t="shared" si="108"/>
        <v>3111762.52</v>
      </c>
    </row>
    <row r="262" spans="1:26" x14ac:dyDescent="0.2">
      <c r="A262" s="193"/>
      <c r="B262" s="250" t="s">
        <v>22</v>
      </c>
      <c r="C262" s="16" t="s">
        <v>1</v>
      </c>
      <c r="D262" s="17" t="s">
        <v>83</v>
      </c>
      <c r="E262" s="16" t="s">
        <v>83</v>
      </c>
      <c r="F262" s="16" t="s">
        <v>83</v>
      </c>
      <c r="G262" s="16" t="s">
        <v>199</v>
      </c>
      <c r="H262" s="11" t="s">
        <v>83</v>
      </c>
      <c r="I262" s="96" t="s">
        <v>23</v>
      </c>
      <c r="J262" s="40">
        <v>3544237.58</v>
      </c>
      <c r="K262" s="97">
        <v>0</v>
      </c>
      <c r="L262" s="104">
        <v>2877031.5</v>
      </c>
      <c r="M262" s="104">
        <v>0</v>
      </c>
      <c r="N262" s="104">
        <v>2877031.5</v>
      </c>
      <c r="O262" s="104">
        <v>2992119.81</v>
      </c>
      <c r="P262" s="104">
        <v>0</v>
      </c>
      <c r="Q262" s="104">
        <v>0</v>
      </c>
      <c r="R262" s="104">
        <v>2877031.5</v>
      </c>
      <c r="S262" s="104">
        <v>2992119.81</v>
      </c>
      <c r="T262" s="105">
        <v>3111762.52</v>
      </c>
      <c r="U262" s="105">
        <v>0</v>
      </c>
      <c r="V262" s="104">
        <v>0</v>
      </c>
      <c r="W262" s="104">
        <v>2992119.81</v>
      </c>
      <c r="X262" s="105">
        <v>3111762.52</v>
      </c>
      <c r="Y262" s="105">
        <v>0</v>
      </c>
      <c r="Z262" s="105">
        <v>3111762.52</v>
      </c>
    </row>
    <row r="263" spans="1:26" ht="89.25" x14ac:dyDescent="0.2">
      <c r="A263" s="193"/>
      <c r="B263" s="251" t="s">
        <v>186</v>
      </c>
      <c r="C263" s="10" t="s">
        <v>1</v>
      </c>
      <c r="D263" s="14" t="s">
        <v>83</v>
      </c>
      <c r="E263" s="10" t="s">
        <v>83</v>
      </c>
      <c r="F263" s="10" t="s">
        <v>83</v>
      </c>
      <c r="G263" s="15" t="s">
        <v>187</v>
      </c>
      <c r="H263" s="11" t="s">
        <v>83</v>
      </c>
      <c r="I263" s="96"/>
      <c r="J263" s="40">
        <f t="shared" ref="J263:Y264" si="109">J264</f>
        <v>43549218</v>
      </c>
      <c r="K263" s="97">
        <f t="shared" si="109"/>
        <v>0</v>
      </c>
      <c r="L263" s="98">
        <f t="shared" si="109"/>
        <v>44897048.43</v>
      </c>
      <c r="M263" s="98">
        <f t="shared" si="109"/>
        <v>0</v>
      </c>
      <c r="N263" s="98">
        <f t="shared" si="109"/>
        <v>44897048.43</v>
      </c>
      <c r="O263" s="98">
        <f t="shared" si="109"/>
        <v>47348927.770000003</v>
      </c>
      <c r="P263" s="98">
        <f t="shared" si="109"/>
        <v>0</v>
      </c>
      <c r="Q263" s="98">
        <f t="shared" si="109"/>
        <v>0</v>
      </c>
      <c r="R263" s="98">
        <f t="shared" si="109"/>
        <v>44897048.43</v>
      </c>
      <c r="S263" s="98">
        <f t="shared" si="109"/>
        <v>47348927.770000003</v>
      </c>
      <c r="T263" s="99">
        <f t="shared" si="109"/>
        <v>47348906.43</v>
      </c>
      <c r="U263" s="99">
        <f t="shared" si="109"/>
        <v>0</v>
      </c>
      <c r="V263" s="98">
        <f t="shared" si="109"/>
        <v>0</v>
      </c>
      <c r="W263" s="98">
        <f t="shared" si="109"/>
        <v>47348927.770000003</v>
      </c>
      <c r="X263" s="99">
        <f t="shared" si="109"/>
        <v>47348906.43</v>
      </c>
      <c r="Y263" s="99">
        <f t="shared" si="109"/>
        <v>0</v>
      </c>
      <c r="Z263" s="99">
        <f>Z264</f>
        <v>47348906.43</v>
      </c>
    </row>
    <row r="264" spans="1:26" ht="25.5" x14ac:dyDescent="0.2">
      <c r="A264" s="193"/>
      <c r="B264" s="250" t="s">
        <v>21</v>
      </c>
      <c r="C264" s="10" t="s">
        <v>1</v>
      </c>
      <c r="D264" s="14" t="s">
        <v>83</v>
      </c>
      <c r="E264" s="10" t="s">
        <v>83</v>
      </c>
      <c r="F264" s="10" t="s">
        <v>83</v>
      </c>
      <c r="G264" s="15" t="s">
        <v>187</v>
      </c>
      <c r="H264" s="11" t="s">
        <v>83</v>
      </c>
      <c r="I264" s="96" t="s">
        <v>96</v>
      </c>
      <c r="J264" s="40">
        <f t="shared" si="109"/>
        <v>43549218</v>
      </c>
      <c r="K264" s="97">
        <f t="shared" si="109"/>
        <v>0</v>
      </c>
      <c r="L264" s="98">
        <f t="shared" si="109"/>
        <v>44897048.43</v>
      </c>
      <c r="M264" s="98">
        <f t="shared" si="109"/>
        <v>0</v>
      </c>
      <c r="N264" s="98">
        <f t="shared" si="109"/>
        <v>44897048.43</v>
      </c>
      <c r="O264" s="98">
        <f t="shared" si="109"/>
        <v>47348927.770000003</v>
      </c>
      <c r="P264" s="98">
        <f t="shared" si="109"/>
        <v>0</v>
      </c>
      <c r="Q264" s="98">
        <f t="shared" si="109"/>
        <v>0</v>
      </c>
      <c r="R264" s="98">
        <f t="shared" si="109"/>
        <v>44897048.43</v>
      </c>
      <c r="S264" s="98">
        <f t="shared" si="109"/>
        <v>47348927.770000003</v>
      </c>
      <c r="T264" s="99">
        <f t="shared" si="109"/>
        <v>47348906.43</v>
      </c>
      <c r="U264" s="99">
        <f t="shared" si="109"/>
        <v>0</v>
      </c>
      <c r="V264" s="98">
        <f t="shared" si="109"/>
        <v>0</v>
      </c>
      <c r="W264" s="98">
        <f t="shared" si="109"/>
        <v>47348927.770000003</v>
      </c>
      <c r="X264" s="99">
        <f t="shared" si="109"/>
        <v>47348906.43</v>
      </c>
      <c r="Y264" s="99">
        <f>Y265</f>
        <v>0</v>
      </c>
      <c r="Z264" s="99">
        <f>Z265</f>
        <v>47348906.43</v>
      </c>
    </row>
    <row r="265" spans="1:26" x14ac:dyDescent="0.2">
      <c r="A265" s="193"/>
      <c r="B265" s="250" t="s">
        <v>22</v>
      </c>
      <c r="C265" s="10" t="s">
        <v>1</v>
      </c>
      <c r="D265" s="14" t="s">
        <v>83</v>
      </c>
      <c r="E265" s="10" t="s">
        <v>83</v>
      </c>
      <c r="F265" s="10" t="s">
        <v>83</v>
      </c>
      <c r="G265" s="15" t="s">
        <v>187</v>
      </c>
      <c r="H265" s="11" t="s">
        <v>83</v>
      </c>
      <c r="I265" s="96" t="s">
        <v>23</v>
      </c>
      <c r="J265" s="40">
        <f>44149218-600000</f>
        <v>43549218</v>
      </c>
      <c r="K265" s="97">
        <v>0</v>
      </c>
      <c r="L265" s="104">
        <f>45697048.43-800000</f>
        <v>44897048.43</v>
      </c>
      <c r="M265" s="104">
        <v>0</v>
      </c>
      <c r="N265" s="104">
        <f>45697048.43-800000</f>
        <v>44897048.43</v>
      </c>
      <c r="O265" s="104">
        <f>48148927.77-800000</f>
        <v>47348927.770000003</v>
      </c>
      <c r="P265" s="104">
        <v>0</v>
      </c>
      <c r="Q265" s="104">
        <v>0</v>
      </c>
      <c r="R265" s="104">
        <f>45697048.43-800000</f>
        <v>44897048.43</v>
      </c>
      <c r="S265" s="104">
        <f>48148927.77-800000</f>
        <v>47348927.770000003</v>
      </c>
      <c r="T265" s="105">
        <f>48148906.43-800000</f>
        <v>47348906.43</v>
      </c>
      <c r="U265" s="105">
        <v>0</v>
      </c>
      <c r="V265" s="104">
        <v>0</v>
      </c>
      <c r="W265" s="104">
        <f>48148927.77-800000</f>
        <v>47348927.770000003</v>
      </c>
      <c r="X265" s="105">
        <f>48148906.43-800000</f>
        <v>47348906.43</v>
      </c>
      <c r="Y265" s="105">
        <v>0</v>
      </c>
      <c r="Z265" s="105">
        <f>48148906.43-800000</f>
        <v>47348906.43</v>
      </c>
    </row>
    <row r="266" spans="1:26" ht="38.25" x14ac:dyDescent="0.2">
      <c r="A266" s="193"/>
      <c r="B266" s="250" t="s">
        <v>190</v>
      </c>
      <c r="C266" s="16" t="s">
        <v>1</v>
      </c>
      <c r="D266" s="17" t="s">
        <v>83</v>
      </c>
      <c r="E266" s="16" t="s">
        <v>83</v>
      </c>
      <c r="F266" s="16" t="s">
        <v>83</v>
      </c>
      <c r="G266" s="18" t="s">
        <v>189</v>
      </c>
      <c r="H266" s="11" t="s">
        <v>83</v>
      </c>
      <c r="I266" s="96"/>
      <c r="J266" s="40">
        <f t="shared" ref="J266:Y267" si="110">J267</f>
        <v>526443500</v>
      </c>
      <c r="K266" s="97">
        <f t="shared" si="110"/>
        <v>0</v>
      </c>
      <c r="L266" s="98">
        <f t="shared" si="110"/>
        <v>680271700</v>
      </c>
      <c r="M266" s="98">
        <f t="shared" si="110"/>
        <v>0</v>
      </c>
      <c r="N266" s="98">
        <f t="shared" si="110"/>
        <v>680271700</v>
      </c>
      <c r="O266" s="98">
        <f t="shared" si="110"/>
        <v>717602300</v>
      </c>
      <c r="P266" s="98">
        <f t="shared" si="110"/>
        <v>0</v>
      </c>
      <c r="Q266" s="98">
        <f t="shared" si="110"/>
        <v>0</v>
      </c>
      <c r="R266" s="98">
        <f t="shared" si="110"/>
        <v>680271700</v>
      </c>
      <c r="S266" s="98">
        <f t="shared" si="110"/>
        <v>717602300</v>
      </c>
      <c r="T266" s="99">
        <f t="shared" si="110"/>
        <v>740052800</v>
      </c>
      <c r="U266" s="99">
        <f t="shared" si="110"/>
        <v>0</v>
      </c>
      <c r="V266" s="98">
        <f t="shared" si="110"/>
        <v>0</v>
      </c>
      <c r="W266" s="98">
        <f t="shared" si="110"/>
        <v>717602300</v>
      </c>
      <c r="X266" s="99">
        <f t="shared" si="110"/>
        <v>740052800</v>
      </c>
      <c r="Y266" s="99">
        <f t="shared" si="110"/>
        <v>0</v>
      </c>
      <c r="Z266" s="99">
        <f>Z267</f>
        <v>740052800</v>
      </c>
    </row>
    <row r="267" spans="1:26" ht="25.5" x14ac:dyDescent="0.2">
      <c r="A267" s="193"/>
      <c r="B267" s="250" t="s">
        <v>21</v>
      </c>
      <c r="C267" s="16" t="s">
        <v>1</v>
      </c>
      <c r="D267" s="17" t="s">
        <v>83</v>
      </c>
      <c r="E267" s="16" t="s">
        <v>83</v>
      </c>
      <c r="F267" s="16" t="s">
        <v>83</v>
      </c>
      <c r="G267" s="18" t="s">
        <v>189</v>
      </c>
      <c r="H267" s="11" t="s">
        <v>83</v>
      </c>
      <c r="I267" s="96">
        <v>600</v>
      </c>
      <c r="J267" s="40">
        <f t="shared" si="110"/>
        <v>526443500</v>
      </c>
      <c r="K267" s="97">
        <f t="shared" si="110"/>
        <v>0</v>
      </c>
      <c r="L267" s="98">
        <f t="shared" si="110"/>
        <v>680271700</v>
      </c>
      <c r="M267" s="98">
        <f t="shared" si="110"/>
        <v>0</v>
      </c>
      <c r="N267" s="98">
        <f t="shared" si="110"/>
        <v>680271700</v>
      </c>
      <c r="O267" s="98">
        <f t="shared" si="110"/>
        <v>717602300</v>
      </c>
      <c r="P267" s="98">
        <f t="shared" si="110"/>
        <v>0</v>
      </c>
      <c r="Q267" s="98">
        <f t="shared" si="110"/>
        <v>0</v>
      </c>
      <c r="R267" s="98">
        <f t="shared" si="110"/>
        <v>680271700</v>
      </c>
      <c r="S267" s="98">
        <f t="shared" si="110"/>
        <v>717602300</v>
      </c>
      <c r="T267" s="99">
        <f t="shared" si="110"/>
        <v>740052800</v>
      </c>
      <c r="U267" s="99">
        <f t="shared" si="110"/>
        <v>0</v>
      </c>
      <c r="V267" s="98">
        <f t="shared" si="110"/>
        <v>0</v>
      </c>
      <c r="W267" s="98">
        <f t="shared" si="110"/>
        <v>717602300</v>
      </c>
      <c r="X267" s="99">
        <f t="shared" si="110"/>
        <v>740052800</v>
      </c>
      <c r="Y267" s="99">
        <f>Y268</f>
        <v>0</v>
      </c>
      <c r="Z267" s="98">
        <f>Z268</f>
        <v>740052800</v>
      </c>
    </row>
    <row r="268" spans="1:26" x14ac:dyDescent="0.2">
      <c r="A268" s="193"/>
      <c r="B268" s="250" t="s">
        <v>22</v>
      </c>
      <c r="C268" s="16" t="s">
        <v>1</v>
      </c>
      <c r="D268" s="17" t="s">
        <v>83</v>
      </c>
      <c r="E268" s="16" t="s">
        <v>83</v>
      </c>
      <c r="F268" s="16" t="s">
        <v>83</v>
      </c>
      <c r="G268" s="18" t="s">
        <v>189</v>
      </c>
      <c r="H268" s="11" t="s">
        <v>83</v>
      </c>
      <c r="I268" s="96" t="s">
        <v>23</v>
      </c>
      <c r="J268" s="40">
        <v>526443500</v>
      </c>
      <c r="K268" s="97">
        <v>0</v>
      </c>
      <c r="L268" s="104">
        <v>680271700</v>
      </c>
      <c r="M268" s="104">
        <v>0</v>
      </c>
      <c r="N268" s="104">
        <v>680271700</v>
      </c>
      <c r="O268" s="104">
        <v>717602300</v>
      </c>
      <c r="P268" s="104">
        <v>0</v>
      </c>
      <c r="Q268" s="104">
        <v>0</v>
      </c>
      <c r="R268" s="104">
        <v>680271700</v>
      </c>
      <c r="S268" s="104">
        <v>717602300</v>
      </c>
      <c r="T268" s="105">
        <v>740052800</v>
      </c>
      <c r="U268" s="105">
        <v>0</v>
      </c>
      <c r="V268" s="104">
        <v>0</v>
      </c>
      <c r="W268" s="104">
        <v>717602300</v>
      </c>
      <c r="X268" s="105">
        <v>740052800</v>
      </c>
      <c r="Y268" s="105">
        <v>0</v>
      </c>
      <c r="Z268" s="104">
        <v>740052800</v>
      </c>
    </row>
    <row r="269" spans="1:26" ht="63.75" x14ac:dyDescent="0.2">
      <c r="A269" s="193"/>
      <c r="B269" s="251" t="s">
        <v>184</v>
      </c>
      <c r="C269" s="21" t="s">
        <v>1</v>
      </c>
      <c r="D269" s="23" t="s">
        <v>83</v>
      </c>
      <c r="E269" s="16" t="s">
        <v>83</v>
      </c>
      <c r="F269" s="16" t="s">
        <v>83</v>
      </c>
      <c r="G269" s="15" t="s">
        <v>185</v>
      </c>
      <c r="H269" s="11" t="s">
        <v>83</v>
      </c>
      <c r="I269" s="96"/>
      <c r="J269" s="40">
        <f t="shared" ref="J269:Y270" si="111">J270</f>
        <v>6102176.6600000001</v>
      </c>
      <c r="K269" s="97">
        <f t="shared" si="111"/>
        <v>0</v>
      </c>
      <c r="L269" s="98">
        <f t="shared" si="111"/>
        <v>7154624.5999999996</v>
      </c>
      <c r="M269" s="98">
        <f t="shared" si="111"/>
        <v>-8776.1</v>
      </c>
      <c r="N269" s="98">
        <f t="shared" si="111"/>
        <v>7145848.5</v>
      </c>
      <c r="O269" s="98">
        <f t="shared" si="111"/>
        <v>7534320</v>
      </c>
      <c r="P269" s="98">
        <f t="shared" si="111"/>
        <v>-869170</v>
      </c>
      <c r="Q269" s="98">
        <f t="shared" si="111"/>
        <v>0</v>
      </c>
      <c r="R269" s="98">
        <f t="shared" si="111"/>
        <v>7145848.5</v>
      </c>
      <c r="S269" s="98">
        <f t="shared" si="111"/>
        <v>6665150</v>
      </c>
      <c r="T269" s="99">
        <f t="shared" si="111"/>
        <v>7534020</v>
      </c>
      <c r="U269" s="99">
        <f t="shared" si="111"/>
        <v>-3409600</v>
      </c>
      <c r="V269" s="98">
        <f t="shared" si="111"/>
        <v>0</v>
      </c>
      <c r="W269" s="98">
        <f t="shared" si="111"/>
        <v>6665150</v>
      </c>
      <c r="X269" s="99">
        <f t="shared" si="111"/>
        <v>4124420</v>
      </c>
      <c r="Y269" s="99">
        <f t="shared" si="111"/>
        <v>0</v>
      </c>
      <c r="Z269" s="98">
        <f>Z270</f>
        <v>4124420</v>
      </c>
    </row>
    <row r="270" spans="1:26" ht="25.5" x14ac:dyDescent="0.2">
      <c r="A270" s="193"/>
      <c r="B270" s="250" t="s">
        <v>21</v>
      </c>
      <c r="C270" s="21" t="s">
        <v>1</v>
      </c>
      <c r="D270" s="23" t="s">
        <v>83</v>
      </c>
      <c r="E270" s="16" t="s">
        <v>83</v>
      </c>
      <c r="F270" s="16" t="s">
        <v>83</v>
      </c>
      <c r="G270" s="15" t="s">
        <v>185</v>
      </c>
      <c r="H270" s="11" t="s">
        <v>83</v>
      </c>
      <c r="I270" s="96" t="s">
        <v>96</v>
      </c>
      <c r="J270" s="40">
        <f t="shared" si="111"/>
        <v>6102176.6600000001</v>
      </c>
      <c r="K270" s="97">
        <f t="shared" si="111"/>
        <v>0</v>
      </c>
      <c r="L270" s="98">
        <f t="shared" si="111"/>
        <v>7154624.5999999996</v>
      </c>
      <c r="M270" s="98">
        <f t="shared" si="111"/>
        <v>-8776.1</v>
      </c>
      <c r="N270" s="98">
        <f t="shared" si="111"/>
        <v>7145848.5</v>
      </c>
      <c r="O270" s="98">
        <f t="shared" si="111"/>
        <v>7534320</v>
      </c>
      <c r="P270" s="98">
        <f t="shared" si="111"/>
        <v>-869170</v>
      </c>
      <c r="Q270" s="98">
        <f t="shared" si="111"/>
        <v>0</v>
      </c>
      <c r="R270" s="98">
        <f t="shared" si="111"/>
        <v>7145848.5</v>
      </c>
      <c r="S270" s="98">
        <f t="shared" si="111"/>
        <v>6665150</v>
      </c>
      <c r="T270" s="99">
        <f t="shared" si="111"/>
        <v>7534020</v>
      </c>
      <c r="U270" s="99">
        <f t="shared" si="111"/>
        <v>-3409600</v>
      </c>
      <c r="V270" s="98">
        <f t="shared" si="111"/>
        <v>0</v>
      </c>
      <c r="W270" s="98">
        <f t="shared" si="111"/>
        <v>6665150</v>
      </c>
      <c r="X270" s="99">
        <f t="shared" si="111"/>
        <v>4124420</v>
      </c>
      <c r="Y270" s="99">
        <f>Y271</f>
        <v>0</v>
      </c>
      <c r="Z270" s="98">
        <f>Z271</f>
        <v>4124420</v>
      </c>
    </row>
    <row r="271" spans="1:26" x14ac:dyDescent="0.2">
      <c r="A271" s="193"/>
      <c r="B271" s="250" t="s">
        <v>22</v>
      </c>
      <c r="C271" s="21" t="s">
        <v>1</v>
      </c>
      <c r="D271" s="23" t="s">
        <v>83</v>
      </c>
      <c r="E271" s="16" t="s">
        <v>83</v>
      </c>
      <c r="F271" s="16" t="s">
        <v>83</v>
      </c>
      <c r="G271" s="15" t="s">
        <v>185</v>
      </c>
      <c r="H271" s="11" t="s">
        <v>83</v>
      </c>
      <c r="I271" s="96" t="s">
        <v>23</v>
      </c>
      <c r="J271" s="40">
        <v>6102176.6600000001</v>
      </c>
      <c r="K271" s="97">
        <v>0</v>
      </c>
      <c r="L271" s="104">
        <v>7154624.5999999996</v>
      </c>
      <c r="M271" s="104">
        <v>-8776.1</v>
      </c>
      <c r="N271" s="104">
        <f>M271+L271</f>
        <v>7145848.5</v>
      </c>
      <c r="O271" s="103">
        <v>7534320</v>
      </c>
      <c r="P271" s="104">
        <v>-869170</v>
      </c>
      <c r="Q271" s="104">
        <v>0</v>
      </c>
      <c r="R271" s="104">
        <v>7145848.5</v>
      </c>
      <c r="S271" s="104">
        <f>P271+O271</f>
        <v>6665150</v>
      </c>
      <c r="T271" s="104">
        <v>7534020</v>
      </c>
      <c r="U271" s="104">
        <v>-3409600</v>
      </c>
      <c r="V271" s="104">
        <v>0</v>
      </c>
      <c r="W271" s="104">
        <v>6665150</v>
      </c>
      <c r="X271" s="105">
        <f>U271+T271</f>
        <v>4124420</v>
      </c>
      <c r="Y271" s="104">
        <v>0</v>
      </c>
      <c r="Z271" s="104">
        <v>4124420</v>
      </c>
    </row>
    <row r="272" spans="1:26" ht="191.25" x14ac:dyDescent="0.2">
      <c r="A272" s="193"/>
      <c r="B272" s="251" t="s">
        <v>297</v>
      </c>
      <c r="C272" s="21" t="s">
        <v>1</v>
      </c>
      <c r="D272" s="23" t="s">
        <v>83</v>
      </c>
      <c r="E272" s="10" t="s">
        <v>83</v>
      </c>
      <c r="F272" s="10" t="s">
        <v>83</v>
      </c>
      <c r="G272" s="15" t="s">
        <v>284</v>
      </c>
      <c r="H272" s="11" t="s">
        <v>83</v>
      </c>
      <c r="I272" s="96"/>
      <c r="J272" s="12"/>
      <c r="K272" s="13"/>
      <c r="L272" s="289">
        <f t="shared" ref="L272:Z273" si="112">L273</f>
        <v>493076</v>
      </c>
      <c r="M272" s="13">
        <f t="shared" si="112"/>
        <v>198957</v>
      </c>
      <c r="N272" s="104">
        <f t="shared" si="112"/>
        <v>0</v>
      </c>
      <c r="O272" s="288">
        <f t="shared" si="112"/>
        <v>0</v>
      </c>
      <c r="P272" s="13">
        <f t="shared" si="112"/>
        <v>0</v>
      </c>
      <c r="Q272" s="103">
        <f t="shared" si="112"/>
        <v>1176500</v>
      </c>
      <c r="R272" s="104">
        <f t="shared" si="112"/>
        <v>1176500</v>
      </c>
      <c r="S272" s="105">
        <f t="shared" si="112"/>
        <v>0</v>
      </c>
      <c r="T272" s="288">
        <f t="shared" si="112"/>
        <v>0</v>
      </c>
      <c r="U272" s="103"/>
      <c r="V272" s="104">
        <f t="shared" si="112"/>
        <v>0</v>
      </c>
      <c r="W272" s="104">
        <f t="shared" si="112"/>
        <v>0</v>
      </c>
      <c r="X272" s="104">
        <f t="shared" si="112"/>
        <v>0</v>
      </c>
      <c r="Y272" s="104">
        <f t="shared" si="112"/>
        <v>0</v>
      </c>
      <c r="Z272" s="104">
        <f t="shared" si="112"/>
        <v>0</v>
      </c>
    </row>
    <row r="273" spans="1:26" ht="25.5" x14ac:dyDescent="0.2">
      <c r="A273" s="193"/>
      <c r="B273" s="250" t="s">
        <v>21</v>
      </c>
      <c r="C273" s="21" t="s">
        <v>1</v>
      </c>
      <c r="D273" s="23" t="s">
        <v>83</v>
      </c>
      <c r="E273" s="10" t="s">
        <v>83</v>
      </c>
      <c r="F273" s="10" t="s">
        <v>83</v>
      </c>
      <c r="G273" s="15" t="s">
        <v>284</v>
      </c>
      <c r="H273" s="11" t="s">
        <v>83</v>
      </c>
      <c r="I273" s="96" t="s">
        <v>96</v>
      </c>
      <c r="J273" s="12"/>
      <c r="K273" s="13"/>
      <c r="L273" s="289">
        <f t="shared" si="112"/>
        <v>493076</v>
      </c>
      <c r="M273" s="13">
        <f t="shared" si="112"/>
        <v>198957</v>
      </c>
      <c r="N273" s="104">
        <f t="shared" si="112"/>
        <v>0</v>
      </c>
      <c r="O273" s="288">
        <f t="shared" si="112"/>
        <v>0</v>
      </c>
      <c r="P273" s="13">
        <f t="shared" si="112"/>
        <v>0</v>
      </c>
      <c r="Q273" s="103">
        <f t="shared" si="112"/>
        <v>1176500</v>
      </c>
      <c r="R273" s="104">
        <f t="shared" si="112"/>
        <v>1176500</v>
      </c>
      <c r="S273" s="105">
        <f t="shared" si="112"/>
        <v>0</v>
      </c>
      <c r="T273" s="288">
        <f t="shared" si="112"/>
        <v>0</v>
      </c>
      <c r="U273" s="103"/>
      <c r="V273" s="104">
        <f t="shared" si="112"/>
        <v>0</v>
      </c>
      <c r="W273" s="104">
        <f t="shared" si="112"/>
        <v>0</v>
      </c>
      <c r="X273" s="104">
        <f t="shared" si="112"/>
        <v>0</v>
      </c>
      <c r="Y273" s="104">
        <f t="shared" si="112"/>
        <v>0</v>
      </c>
      <c r="Z273" s="104">
        <f t="shared" si="112"/>
        <v>0</v>
      </c>
    </row>
    <row r="274" spans="1:26" x14ac:dyDescent="0.2">
      <c r="A274" s="193"/>
      <c r="B274" s="250" t="s">
        <v>22</v>
      </c>
      <c r="C274" s="21" t="s">
        <v>1</v>
      </c>
      <c r="D274" s="23" t="s">
        <v>83</v>
      </c>
      <c r="E274" s="10" t="s">
        <v>83</v>
      </c>
      <c r="F274" s="10" t="s">
        <v>83</v>
      </c>
      <c r="G274" s="15" t="s">
        <v>284</v>
      </c>
      <c r="H274" s="11" t="s">
        <v>83</v>
      </c>
      <c r="I274" s="96" t="s">
        <v>23</v>
      </c>
      <c r="J274" s="12"/>
      <c r="K274" s="13"/>
      <c r="L274" s="289">
        <v>493076</v>
      </c>
      <c r="M274" s="13">
        <f>51160+76387+13110+58300</f>
        <v>198957</v>
      </c>
      <c r="N274" s="104">
        <v>0</v>
      </c>
      <c r="O274" s="288">
        <v>0</v>
      </c>
      <c r="P274" s="13">
        <v>0</v>
      </c>
      <c r="Q274" s="103">
        <v>1176500</v>
      </c>
      <c r="R274" s="104">
        <f>Q274</f>
        <v>1176500</v>
      </c>
      <c r="S274" s="105">
        <v>0</v>
      </c>
      <c r="T274" s="288">
        <v>0</v>
      </c>
      <c r="U274" s="103"/>
      <c r="V274" s="104">
        <v>0</v>
      </c>
      <c r="W274" s="104">
        <v>0</v>
      </c>
      <c r="X274" s="104">
        <v>0</v>
      </c>
      <c r="Y274" s="104">
        <v>0</v>
      </c>
      <c r="Z274" s="104">
        <v>0</v>
      </c>
    </row>
    <row r="275" spans="1:26" ht="38.25" x14ac:dyDescent="0.2">
      <c r="A275" s="193"/>
      <c r="B275" s="100" t="s">
        <v>244</v>
      </c>
      <c r="C275" s="39" t="s">
        <v>1</v>
      </c>
      <c r="D275" s="17" t="s">
        <v>83</v>
      </c>
      <c r="E275" s="10" t="s">
        <v>83</v>
      </c>
      <c r="F275" s="10" t="s">
        <v>83</v>
      </c>
      <c r="G275" s="18" t="s">
        <v>274</v>
      </c>
      <c r="H275" s="11" t="s">
        <v>83</v>
      </c>
      <c r="I275" s="260"/>
      <c r="J275" s="40"/>
      <c r="K275" s="97"/>
      <c r="L275" s="111"/>
      <c r="M275" s="111"/>
      <c r="N275" s="111">
        <f>N278+N276</f>
        <v>0</v>
      </c>
      <c r="O275" s="111">
        <f t="shared" ref="O275:Z275" si="113">O278+O276</f>
        <v>0</v>
      </c>
      <c r="P275" s="111">
        <f t="shared" si="113"/>
        <v>0</v>
      </c>
      <c r="Q275" s="111">
        <f t="shared" si="113"/>
        <v>11866600</v>
      </c>
      <c r="R275" s="112">
        <f t="shared" si="113"/>
        <v>11866600</v>
      </c>
      <c r="S275" s="8">
        <f t="shared" si="113"/>
        <v>0</v>
      </c>
      <c r="T275" s="111">
        <f t="shared" si="113"/>
        <v>0</v>
      </c>
      <c r="U275" s="111">
        <f t="shared" si="113"/>
        <v>0</v>
      </c>
      <c r="V275" s="111">
        <f t="shared" si="113"/>
        <v>0</v>
      </c>
      <c r="W275" s="112">
        <f t="shared" si="113"/>
        <v>0</v>
      </c>
      <c r="X275" s="8">
        <f t="shared" si="113"/>
        <v>0</v>
      </c>
      <c r="Y275" s="111">
        <f t="shared" si="113"/>
        <v>0</v>
      </c>
      <c r="Z275" s="112">
        <f t="shared" si="113"/>
        <v>0</v>
      </c>
    </row>
    <row r="276" spans="1:26" ht="25.5" x14ac:dyDescent="0.2">
      <c r="A276" s="193"/>
      <c r="B276" s="250" t="s">
        <v>42</v>
      </c>
      <c r="C276" s="39" t="s">
        <v>1</v>
      </c>
      <c r="D276" s="17" t="s">
        <v>83</v>
      </c>
      <c r="E276" s="10" t="s">
        <v>83</v>
      </c>
      <c r="F276" s="10" t="s">
        <v>83</v>
      </c>
      <c r="G276" s="18" t="s">
        <v>274</v>
      </c>
      <c r="H276" s="11" t="s">
        <v>83</v>
      </c>
      <c r="I276" s="260" t="s">
        <v>43</v>
      </c>
      <c r="J276" s="40"/>
      <c r="K276" s="97"/>
      <c r="L276" s="111"/>
      <c r="M276" s="111"/>
      <c r="N276" s="111">
        <f>N277</f>
        <v>0</v>
      </c>
      <c r="O276" s="111"/>
      <c r="P276" s="111"/>
      <c r="Q276" s="111">
        <f>Q277</f>
        <v>69000</v>
      </c>
      <c r="R276" s="111">
        <f>R277</f>
        <v>69000</v>
      </c>
      <c r="S276" s="111">
        <f>S277</f>
        <v>0</v>
      </c>
      <c r="T276" s="111"/>
      <c r="U276" s="111"/>
      <c r="V276" s="112">
        <f>V277</f>
        <v>0</v>
      </c>
      <c r="W276" s="113">
        <f>W277</f>
        <v>0</v>
      </c>
      <c r="X276" s="113">
        <f>X277</f>
        <v>0</v>
      </c>
      <c r="Y276" s="113">
        <f>Y277</f>
        <v>0</v>
      </c>
      <c r="Z276" s="112">
        <f>Z277</f>
        <v>0</v>
      </c>
    </row>
    <row r="277" spans="1:26" ht="25.5" x14ac:dyDescent="0.2">
      <c r="A277" s="193"/>
      <c r="B277" s="250" t="s">
        <v>44</v>
      </c>
      <c r="C277" s="39" t="s">
        <v>1</v>
      </c>
      <c r="D277" s="17" t="s">
        <v>83</v>
      </c>
      <c r="E277" s="10" t="s">
        <v>83</v>
      </c>
      <c r="F277" s="10" t="s">
        <v>83</v>
      </c>
      <c r="G277" s="18" t="s">
        <v>274</v>
      </c>
      <c r="H277" s="11" t="s">
        <v>83</v>
      </c>
      <c r="I277" s="260" t="s">
        <v>45</v>
      </c>
      <c r="J277" s="40"/>
      <c r="K277" s="97"/>
      <c r="L277" s="111"/>
      <c r="M277" s="111"/>
      <c r="N277" s="111">
        <v>0</v>
      </c>
      <c r="O277" s="111"/>
      <c r="P277" s="111"/>
      <c r="Q277" s="111">
        <v>69000</v>
      </c>
      <c r="R277" s="111">
        <f>Q277</f>
        <v>69000</v>
      </c>
      <c r="S277" s="111">
        <v>0</v>
      </c>
      <c r="T277" s="111"/>
      <c r="U277" s="111"/>
      <c r="V277" s="112">
        <v>0</v>
      </c>
      <c r="W277" s="113">
        <f>V277</f>
        <v>0</v>
      </c>
      <c r="X277" s="113">
        <v>0</v>
      </c>
      <c r="Y277" s="113">
        <v>0</v>
      </c>
      <c r="Z277" s="112">
        <v>0</v>
      </c>
    </row>
    <row r="278" spans="1:26" ht="25.5" x14ac:dyDescent="0.2">
      <c r="A278" s="193"/>
      <c r="B278" s="100" t="s">
        <v>21</v>
      </c>
      <c r="C278" s="39" t="s">
        <v>1</v>
      </c>
      <c r="D278" s="17" t="s">
        <v>83</v>
      </c>
      <c r="E278" s="10" t="s">
        <v>83</v>
      </c>
      <c r="F278" s="10" t="s">
        <v>83</v>
      </c>
      <c r="G278" s="18" t="s">
        <v>274</v>
      </c>
      <c r="H278" s="11" t="s">
        <v>83</v>
      </c>
      <c r="I278" s="260">
        <v>600</v>
      </c>
      <c r="J278" s="40"/>
      <c r="K278" s="97"/>
      <c r="L278" s="111"/>
      <c r="M278" s="111"/>
      <c r="N278" s="111">
        <f>N279</f>
        <v>0</v>
      </c>
      <c r="O278" s="111"/>
      <c r="P278" s="111"/>
      <c r="Q278" s="111">
        <f>Q279</f>
        <v>11797600</v>
      </c>
      <c r="R278" s="111">
        <f>R279</f>
        <v>11797600</v>
      </c>
      <c r="S278" s="111">
        <f>S279</f>
        <v>0</v>
      </c>
      <c r="T278" s="111"/>
      <c r="U278" s="111"/>
      <c r="V278" s="112">
        <f>V279</f>
        <v>0</v>
      </c>
      <c r="W278" s="113">
        <f>W279</f>
        <v>0</v>
      </c>
      <c r="X278" s="113">
        <f>X279</f>
        <v>0</v>
      </c>
      <c r="Y278" s="113">
        <f>Y279</f>
        <v>0</v>
      </c>
      <c r="Z278" s="113">
        <f>Z279</f>
        <v>0</v>
      </c>
    </row>
    <row r="279" spans="1:26" x14ac:dyDescent="0.2">
      <c r="A279" s="193"/>
      <c r="B279" s="100" t="s">
        <v>22</v>
      </c>
      <c r="C279" s="39" t="s">
        <v>1</v>
      </c>
      <c r="D279" s="17" t="s">
        <v>83</v>
      </c>
      <c r="E279" s="10" t="s">
        <v>83</v>
      </c>
      <c r="F279" s="10" t="s">
        <v>83</v>
      </c>
      <c r="G279" s="18" t="s">
        <v>274</v>
      </c>
      <c r="H279" s="11" t="s">
        <v>83</v>
      </c>
      <c r="I279" s="260" t="s">
        <v>23</v>
      </c>
      <c r="J279" s="40"/>
      <c r="K279" s="97"/>
      <c r="L279" s="111"/>
      <c r="M279" s="111"/>
      <c r="N279" s="111">
        <v>0</v>
      </c>
      <c r="O279" s="111"/>
      <c r="P279" s="111"/>
      <c r="Q279" s="111">
        <f>11866600-69000</f>
        <v>11797600</v>
      </c>
      <c r="R279" s="111">
        <f>Q279</f>
        <v>11797600</v>
      </c>
      <c r="S279" s="111">
        <v>0</v>
      </c>
      <c r="T279" s="111"/>
      <c r="U279" s="111"/>
      <c r="V279" s="112">
        <v>0</v>
      </c>
      <c r="W279" s="113">
        <f>V279</f>
        <v>0</v>
      </c>
      <c r="X279" s="113">
        <v>0</v>
      </c>
      <c r="Y279" s="113">
        <v>0</v>
      </c>
      <c r="Z279" s="113">
        <v>0</v>
      </c>
    </row>
    <row r="280" spans="1:26" ht="63.75" x14ac:dyDescent="0.2">
      <c r="A280" s="193"/>
      <c r="B280" s="250" t="s">
        <v>188</v>
      </c>
      <c r="C280" s="10" t="s">
        <v>1</v>
      </c>
      <c r="D280" s="14" t="s">
        <v>83</v>
      </c>
      <c r="E280" s="10" t="s">
        <v>83</v>
      </c>
      <c r="F280" s="10" t="s">
        <v>83</v>
      </c>
      <c r="G280" s="15" t="s">
        <v>153</v>
      </c>
      <c r="H280" s="10" t="s">
        <v>81</v>
      </c>
      <c r="I280" s="96"/>
      <c r="J280" s="40">
        <f t="shared" ref="J280:Y281" si="114">J281</f>
        <v>10533133.85</v>
      </c>
      <c r="K280" s="97">
        <f t="shared" si="114"/>
        <v>0</v>
      </c>
      <c r="L280" s="98">
        <f t="shared" si="114"/>
        <v>11588291.82</v>
      </c>
      <c r="M280" s="98">
        <f t="shared" si="114"/>
        <v>-938011.05</v>
      </c>
      <c r="N280" s="98">
        <f t="shared" si="114"/>
        <v>10650280.77</v>
      </c>
      <c r="O280" s="98">
        <f t="shared" si="114"/>
        <v>11149665.060000001</v>
      </c>
      <c r="P280" s="98">
        <f t="shared" si="114"/>
        <v>-1429241.36</v>
      </c>
      <c r="Q280" s="98">
        <f t="shared" si="114"/>
        <v>0</v>
      </c>
      <c r="R280" s="98">
        <f t="shared" si="114"/>
        <v>10650280.77</v>
      </c>
      <c r="S280" s="98">
        <f t="shared" si="114"/>
        <v>9720423.7000000011</v>
      </c>
      <c r="T280" s="99">
        <f t="shared" si="114"/>
        <v>12016699.83</v>
      </c>
      <c r="U280" s="99">
        <f t="shared" si="114"/>
        <v>-1811240.45</v>
      </c>
      <c r="V280" s="98">
        <f t="shared" si="114"/>
        <v>0</v>
      </c>
      <c r="W280" s="99">
        <f t="shared" si="114"/>
        <v>9720423.6999999993</v>
      </c>
      <c r="X280" s="99">
        <f t="shared" si="114"/>
        <v>10205459.380000001</v>
      </c>
      <c r="Y280" s="99">
        <f t="shared" si="114"/>
        <v>0</v>
      </c>
      <c r="Z280" s="98">
        <f>Z281</f>
        <v>10205459.380000001</v>
      </c>
    </row>
    <row r="281" spans="1:26" ht="25.5" x14ac:dyDescent="0.2">
      <c r="A281" s="193"/>
      <c r="B281" s="250" t="s">
        <v>21</v>
      </c>
      <c r="C281" s="10" t="s">
        <v>1</v>
      </c>
      <c r="D281" s="14" t="s">
        <v>83</v>
      </c>
      <c r="E281" s="10" t="s">
        <v>83</v>
      </c>
      <c r="F281" s="10" t="s">
        <v>83</v>
      </c>
      <c r="G281" s="15" t="s">
        <v>153</v>
      </c>
      <c r="H281" s="10" t="s">
        <v>81</v>
      </c>
      <c r="I281" s="96" t="s">
        <v>96</v>
      </c>
      <c r="J281" s="40">
        <f t="shared" si="114"/>
        <v>10533133.85</v>
      </c>
      <c r="K281" s="97">
        <f t="shared" si="114"/>
        <v>0</v>
      </c>
      <c r="L281" s="98">
        <f t="shared" si="114"/>
        <v>11588291.82</v>
      </c>
      <c r="M281" s="98">
        <f t="shared" si="114"/>
        <v>-938011.05</v>
      </c>
      <c r="N281" s="98">
        <f t="shared" si="114"/>
        <v>10650280.77</v>
      </c>
      <c r="O281" s="98">
        <f t="shared" si="114"/>
        <v>11149665.060000001</v>
      </c>
      <c r="P281" s="98">
        <f t="shared" si="114"/>
        <v>-1429241.36</v>
      </c>
      <c r="Q281" s="98">
        <f t="shared" si="114"/>
        <v>0</v>
      </c>
      <c r="R281" s="98">
        <f t="shared" si="114"/>
        <v>10650280.77</v>
      </c>
      <c r="S281" s="98">
        <f t="shared" si="114"/>
        <v>9720423.7000000011</v>
      </c>
      <c r="T281" s="99">
        <f t="shared" si="114"/>
        <v>12016699.83</v>
      </c>
      <c r="U281" s="99">
        <f t="shared" si="114"/>
        <v>-1811240.45</v>
      </c>
      <c r="V281" s="98">
        <f t="shared" si="114"/>
        <v>0</v>
      </c>
      <c r="W281" s="99">
        <f t="shared" si="114"/>
        <v>9720423.6999999993</v>
      </c>
      <c r="X281" s="99">
        <f t="shared" si="114"/>
        <v>10205459.380000001</v>
      </c>
      <c r="Y281" s="99">
        <f>Y282</f>
        <v>0</v>
      </c>
      <c r="Z281" s="98">
        <f>Z282</f>
        <v>10205459.380000001</v>
      </c>
    </row>
    <row r="282" spans="1:26" x14ac:dyDescent="0.2">
      <c r="A282" s="193"/>
      <c r="B282" s="250" t="s">
        <v>22</v>
      </c>
      <c r="C282" s="10" t="s">
        <v>1</v>
      </c>
      <c r="D282" s="14" t="s">
        <v>83</v>
      </c>
      <c r="E282" s="10" t="s">
        <v>83</v>
      </c>
      <c r="F282" s="10" t="s">
        <v>83</v>
      </c>
      <c r="G282" s="15" t="s">
        <v>153</v>
      </c>
      <c r="H282" s="10" t="s">
        <v>81</v>
      </c>
      <c r="I282" s="96" t="s">
        <v>23</v>
      </c>
      <c r="J282" s="40">
        <f>10483133.85+50000</f>
        <v>10533133.85</v>
      </c>
      <c r="K282" s="97">
        <v>0</v>
      </c>
      <c r="L282" s="104">
        <f>11538291.82+50000</f>
        <v>11588291.82</v>
      </c>
      <c r="M282" s="104">
        <v>-938011.05</v>
      </c>
      <c r="N282" s="104">
        <f>M282+L282</f>
        <v>10650280.77</v>
      </c>
      <c r="O282" s="103">
        <f>11099665.06+50000</f>
        <v>11149665.060000001</v>
      </c>
      <c r="P282" s="104">
        <v>-1429241.36</v>
      </c>
      <c r="Q282" s="104">
        <v>0</v>
      </c>
      <c r="R282" s="104">
        <v>10650280.77</v>
      </c>
      <c r="S282" s="104">
        <f>P282+O282</f>
        <v>9720423.7000000011</v>
      </c>
      <c r="T282" s="104">
        <f>11966699.83+50000</f>
        <v>12016699.83</v>
      </c>
      <c r="U282" s="104">
        <v>-1811240.45</v>
      </c>
      <c r="V282" s="104">
        <v>0</v>
      </c>
      <c r="W282" s="105">
        <v>9720423.6999999993</v>
      </c>
      <c r="X282" s="105">
        <f>U282+T282</f>
        <v>10205459.380000001</v>
      </c>
      <c r="Y282" s="104">
        <v>0</v>
      </c>
      <c r="Z282" s="104">
        <v>10205459.380000001</v>
      </c>
    </row>
    <row r="283" spans="1:26" ht="51" x14ac:dyDescent="0.2">
      <c r="A283" s="193"/>
      <c r="B283" s="250" t="s">
        <v>314</v>
      </c>
      <c r="C283" s="10" t="s">
        <v>1</v>
      </c>
      <c r="D283" s="14" t="s">
        <v>83</v>
      </c>
      <c r="E283" s="10" t="s">
        <v>83</v>
      </c>
      <c r="F283" s="10" t="s">
        <v>83</v>
      </c>
      <c r="G283" s="15" t="s">
        <v>279</v>
      </c>
      <c r="H283" s="11" t="s">
        <v>81</v>
      </c>
      <c r="I283" s="96"/>
      <c r="J283" s="12"/>
      <c r="K283" s="13"/>
      <c r="L283" s="289">
        <f t="shared" ref="L283:Z284" si="115">L284</f>
        <v>74280525.409999996</v>
      </c>
      <c r="M283" s="13">
        <f t="shared" si="115"/>
        <v>0</v>
      </c>
      <c r="N283" s="104">
        <f t="shared" si="115"/>
        <v>0</v>
      </c>
      <c r="O283" s="12">
        <f t="shared" si="115"/>
        <v>0</v>
      </c>
      <c r="P283" s="13">
        <f t="shared" si="115"/>
        <v>0</v>
      </c>
      <c r="Q283" s="104">
        <f t="shared" si="115"/>
        <v>0</v>
      </c>
      <c r="R283" s="12">
        <f t="shared" si="115"/>
        <v>0</v>
      </c>
      <c r="S283" s="104">
        <f t="shared" si="115"/>
        <v>0</v>
      </c>
      <c r="T283" s="288">
        <f t="shared" si="115"/>
        <v>0</v>
      </c>
      <c r="U283" s="103"/>
      <c r="V283" s="103">
        <f t="shared" si="115"/>
        <v>0</v>
      </c>
      <c r="W283" s="103">
        <f t="shared" si="115"/>
        <v>0</v>
      </c>
      <c r="X283" s="103">
        <f t="shared" si="115"/>
        <v>0</v>
      </c>
      <c r="Y283" s="104">
        <f t="shared" si="115"/>
        <v>73387790.700000003</v>
      </c>
      <c r="Z283" s="104">
        <f t="shared" si="115"/>
        <v>73387790.700000003</v>
      </c>
    </row>
    <row r="284" spans="1:26" ht="25.5" x14ac:dyDescent="0.2">
      <c r="A284" s="193"/>
      <c r="B284" s="250" t="s">
        <v>21</v>
      </c>
      <c r="C284" s="10" t="s">
        <v>1</v>
      </c>
      <c r="D284" s="14" t="s">
        <v>83</v>
      </c>
      <c r="E284" s="10" t="s">
        <v>83</v>
      </c>
      <c r="F284" s="10" t="s">
        <v>83</v>
      </c>
      <c r="G284" s="15" t="s">
        <v>279</v>
      </c>
      <c r="H284" s="11" t="s">
        <v>81</v>
      </c>
      <c r="I284" s="96" t="s">
        <v>96</v>
      </c>
      <c r="J284" s="12"/>
      <c r="K284" s="13"/>
      <c r="L284" s="289">
        <f t="shared" si="115"/>
        <v>74280525.409999996</v>
      </c>
      <c r="M284" s="13">
        <f t="shared" si="115"/>
        <v>0</v>
      </c>
      <c r="N284" s="104">
        <f t="shared" si="115"/>
        <v>0</v>
      </c>
      <c r="O284" s="12">
        <f t="shared" si="115"/>
        <v>0</v>
      </c>
      <c r="P284" s="13">
        <f t="shared" si="115"/>
        <v>0</v>
      </c>
      <c r="Q284" s="104">
        <f t="shared" si="115"/>
        <v>0</v>
      </c>
      <c r="R284" s="12">
        <f t="shared" si="115"/>
        <v>0</v>
      </c>
      <c r="S284" s="104">
        <f t="shared" si="115"/>
        <v>0</v>
      </c>
      <c r="T284" s="288">
        <f t="shared" si="115"/>
        <v>0</v>
      </c>
      <c r="U284" s="103"/>
      <c r="V284" s="103">
        <f t="shared" si="115"/>
        <v>0</v>
      </c>
      <c r="W284" s="104">
        <f t="shared" si="115"/>
        <v>0</v>
      </c>
      <c r="X284" s="104">
        <f t="shared" si="115"/>
        <v>0</v>
      </c>
      <c r="Y284" s="104">
        <f t="shared" si="115"/>
        <v>73387790.700000003</v>
      </c>
      <c r="Z284" s="104">
        <f t="shared" si="115"/>
        <v>73387790.700000003</v>
      </c>
    </row>
    <row r="285" spans="1:26" x14ac:dyDescent="0.2">
      <c r="A285" s="193"/>
      <c r="B285" s="250" t="s">
        <v>22</v>
      </c>
      <c r="C285" s="10" t="s">
        <v>1</v>
      </c>
      <c r="D285" s="14" t="s">
        <v>83</v>
      </c>
      <c r="E285" s="10" t="s">
        <v>83</v>
      </c>
      <c r="F285" s="10" t="s">
        <v>83</v>
      </c>
      <c r="G285" s="15" t="s">
        <v>279</v>
      </c>
      <c r="H285" s="11" t="s">
        <v>81</v>
      </c>
      <c r="I285" s="96" t="s">
        <v>23</v>
      </c>
      <c r="J285" s="12"/>
      <c r="K285" s="13"/>
      <c r="L285" s="289">
        <v>74280525.409999996</v>
      </c>
      <c r="M285" s="13">
        <v>0</v>
      </c>
      <c r="N285" s="104">
        <v>0</v>
      </c>
      <c r="O285" s="12">
        <v>0</v>
      </c>
      <c r="P285" s="13">
        <v>0</v>
      </c>
      <c r="Q285" s="104">
        <v>0</v>
      </c>
      <c r="R285" s="12">
        <v>0</v>
      </c>
      <c r="S285" s="104">
        <v>0</v>
      </c>
      <c r="T285" s="288">
        <v>0</v>
      </c>
      <c r="U285" s="103"/>
      <c r="V285" s="103">
        <v>0</v>
      </c>
      <c r="W285" s="104">
        <v>0</v>
      </c>
      <c r="X285" s="104">
        <v>0</v>
      </c>
      <c r="Y285" s="104">
        <v>73387790.700000003</v>
      </c>
      <c r="Z285" s="104">
        <v>73387790.700000003</v>
      </c>
    </row>
    <row r="286" spans="1:26" ht="102" x14ac:dyDescent="0.2">
      <c r="A286" s="193"/>
      <c r="B286" s="100" t="s">
        <v>183</v>
      </c>
      <c r="C286" s="34" t="s">
        <v>1</v>
      </c>
      <c r="D286" s="10" t="s">
        <v>83</v>
      </c>
      <c r="E286" s="10" t="s">
        <v>83</v>
      </c>
      <c r="F286" s="10" t="s">
        <v>83</v>
      </c>
      <c r="G286" s="10" t="s">
        <v>301</v>
      </c>
      <c r="H286" s="11" t="s">
        <v>81</v>
      </c>
      <c r="I286" s="198"/>
      <c r="J286" s="12">
        <f t="shared" ref="J286:Z287" si="116">J287</f>
        <v>30041850</v>
      </c>
      <c r="K286" s="13">
        <f t="shared" si="116"/>
        <v>0</v>
      </c>
      <c r="L286" s="104">
        <f t="shared" si="116"/>
        <v>27919265</v>
      </c>
      <c r="M286" s="104">
        <f t="shared" si="116"/>
        <v>0</v>
      </c>
      <c r="N286" s="104">
        <f t="shared" si="116"/>
        <v>0</v>
      </c>
      <c r="O286" s="103">
        <f t="shared" si="116"/>
        <v>27919265</v>
      </c>
      <c r="P286" s="104">
        <f t="shared" si="116"/>
        <v>326610</v>
      </c>
      <c r="Q286" s="104">
        <f t="shared" si="116"/>
        <v>27919265</v>
      </c>
      <c r="R286" s="104">
        <f t="shared" si="116"/>
        <v>27919265</v>
      </c>
      <c r="S286" s="105">
        <f t="shared" si="116"/>
        <v>0</v>
      </c>
      <c r="T286" s="104">
        <f t="shared" si="116"/>
        <v>27919265</v>
      </c>
      <c r="U286" s="103">
        <f t="shared" si="116"/>
        <v>163305</v>
      </c>
      <c r="V286" s="104">
        <f t="shared" si="116"/>
        <v>28245875</v>
      </c>
      <c r="W286" s="105">
        <f t="shared" si="116"/>
        <v>28245875</v>
      </c>
      <c r="X286" s="104">
        <f t="shared" si="116"/>
        <v>0</v>
      </c>
      <c r="Y286" s="104">
        <f t="shared" si="116"/>
        <v>28082570</v>
      </c>
      <c r="Z286" s="104">
        <f t="shared" si="116"/>
        <v>28082570</v>
      </c>
    </row>
    <row r="287" spans="1:26" ht="25.5" x14ac:dyDescent="0.2">
      <c r="A287" s="193"/>
      <c r="B287" s="100" t="s">
        <v>21</v>
      </c>
      <c r="C287" s="34" t="s">
        <v>1</v>
      </c>
      <c r="D287" s="10" t="s">
        <v>83</v>
      </c>
      <c r="E287" s="10" t="s">
        <v>83</v>
      </c>
      <c r="F287" s="10" t="s">
        <v>83</v>
      </c>
      <c r="G287" s="10" t="s">
        <v>301</v>
      </c>
      <c r="H287" s="11" t="s">
        <v>81</v>
      </c>
      <c r="I287" s="198" t="s">
        <v>96</v>
      </c>
      <c r="J287" s="12">
        <f t="shared" si="116"/>
        <v>30041850</v>
      </c>
      <c r="K287" s="13">
        <f t="shared" si="116"/>
        <v>0</v>
      </c>
      <c r="L287" s="104">
        <f t="shared" si="116"/>
        <v>27919265</v>
      </c>
      <c r="M287" s="104">
        <f t="shared" si="116"/>
        <v>0</v>
      </c>
      <c r="N287" s="104">
        <f t="shared" si="116"/>
        <v>0</v>
      </c>
      <c r="O287" s="103">
        <f t="shared" si="116"/>
        <v>27919265</v>
      </c>
      <c r="P287" s="104">
        <f t="shared" si="116"/>
        <v>326610</v>
      </c>
      <c r="Q287" s="104">
        <f t="shared" si="116"/>
        <v>27919265</v>
      </c>
      <c r="R287" s="104">
        <f t="shared" si="116"/>
        <v>27919265</v>
      </c>
      <c r="S287" s="105">
        <f t="shared" si="116"/>
        <v>0</v>
      </c>
      <c r="T287" s="104">
        <f t="shared" si="116"/>
        <v>27919265</v>
      </c>
      <c r="U287" s="103">
        <f t="shared" si="116"/>
        <v>163305</v>
      </c>
      <c r="V287" s="104">
        <f t="shared" si="116"/>
        <v>28245875</v>
      </c>
      <c r="W287" s="105">
        <f t="shared" si="116"/>
        <v>28245875</v>
      </c>
      <c r="X287" s="104">
        <f t="shared" si="116"/>
        <v>0</v>
      </c>
      <c r="Y287" s="104">
        <f t="shared" si="116"/>
        <v>28082570</v>
      </c>
      <c r="Z287" s="104">
        <f t="shared" si="116"/>
        <v>28082570</v>
      </c>
    </row>
    <row r="288" spans="1:26" x14ac:dyDescent="0.2">
      <c r="A288" s="193"/>
      <c r="B288" s="100" t="s">
        <v>22</v>
      </c>
      <c r="C288" s="34" t="s">
        <v>1</v>
      </c>
      <c r="D288" s="10" t="s">
        <v>83</v>
      </c>
      <c r="E288" s="10" t="s">
        <v>83</v>
      </c>
      <c r="F288" s="10" t="s">
        <v>83</v>
      </c>
      <c r="G288" s="10" t="s">
        <v>301</v>
      </c>
      <c r="H288" s="11" t="s">
        <v>81</v>
      </c>
      <c r="I288" s="198" t="s">
        <v>23</v>
      </c>
      <c r="J288" s="12">
        <v>30041850</v>
      </c>
      <c r="K288" s="13">
        <v>0</v>
      </c>
      <c r="L288" s="104">
        <v>27919265</v>
      </c>
      <c r="M288" s="104">
        <v>0</v>
      </c>
      <c r="N288" s="104">
        <v>0</v>
      </c>
      <c r="O288" s="103">
        <v>27919265</v>
      </c>
      <c r="P288" s="104">
        <v>326610</v>
      </c>
      <c r="Q288" s="104">
        <v>27919265</v>
      </c>
      <c r="R288" s="104">
        <v>27919265</v>
      </c>
      <c r="S288" s="105">
        <v>0</v>
      </c>
      <c r="T288" s="104">
        <v>27919265</v>
      </c>
      <c r="U288" s="103">
        <v>163305</v>
      </c>
      <c r="V288" s="104">
        <v>28245875</v>
      </c>
      <c r="W288" s="105">
        <v>28245875</v>
      </c>
      <c r="X288" s="104">
        <v>0</v>
      </c>
      <c r="Y288" s="104">
        <v>28082570</v>
      </c>
      <c r="Z288" s="104">
        <v>28082570</v>
      </c>
    </row>
    <row r="289" spans="1:26" ht="76.5" x14ac:dyDescent="0.2">
      <c r="A289" s="193"/>
      <c r="B289" s="282" t="s">
        <v>313</v>
      </c>
      <c r="C289" s="16" t="s">
        <v>1</v>
      </c>
      <c r="D289" s="10" t="s">
        <v>83</v>
      </c>
      <c r="E289" s="10" t="s">
        <v>83</v>
      </c>
      <c r="F289" s="10" t="s">
        <v>83</v>
      </c>
      <c r="G289" s="18" t="s">
        <v>282</v>
      </c>
      <c r="H289" s="11" t="s">
        <v>83</v>
      </c>
      <c r="I289" s="102"/>
      <c r="J289" s="12">
        <f t="shared" ref="J289:Y290" si="117">J290</f>
        <v>1208888</v>
      </c>
      <c r="K289" s="13">
        <f t="shared" si="117"/>
        <v>0</v>
      </c>
      <c r="L289" s="289">
        <f t="shared" si="117"/>
        <v>1202312</v>
      </c>
      <c r="M289" s="13">
        <f t="shared" si="117"/>
        <v>0</v>
      </c>
      <c r="N289" s="104">
        <f t="shared" si="117"/>
        <v>0</v>
      </c>
      <c r="O289" s="12">
        <f t="shared" si="117"/>
        <v>1202312</v>
      </c>
      <c r="P289" s="13">
        <f t="shared" si="117"/>
        <v>0</v>
      </c>
      <c r="Q289" s="104">
        <f t="shared" si="117"/>
        <v>516060</v>
      </c>
      <c r="R289" s="12">
        <f t="shared" si="117"/>
        <v>516060</v>
      </c>
      <c r="S289" s="104">
        <f t="shared" si="117"/>
        <v>0</v>
      </c>
      <c r="T289" s="12">
        <f t="shared" si="117"/>
        <v>1202312</v>
      </c>
      <c r="U289" s="13">
        <f t="shared" si="117"/>
        <v>0</v>
      </c>
      <c r="V289" s="103">
        <f t="shared" si="117"/>
        <v>516060</v>
      </c>
      <c r="W289" s="104">
        <f t="shared" si="117"/>
        <v>516060</v>
      </c>
      <c r="X289" s="104">
        <f t="shared" si="117"/>
        <v>0</v>
      </c>
      <c r="Y289" s="104">
        <f t="shared" si="117"/>
        <v>516060</v>
      </c>
      <c r="Z289" s="104">
        <f t="shared" ref="X289:Z290" si="118">Z290</f>
        <v>516060</v>
      </c>
    </row>
    <row r="290" spans="1:26" ht="25.5" x14ac:dyDescent="0.2">
      <c r="A290" s="193"/>
      <c r="B290" s="250" t="s">
        <v>21</v>
      </c>
      <c r="C290" s="16" t="s">
        <v>1</v>
      </c>
      <c r="D290" s="10" t="s">
        <v>83</v>
      </c>
      <c r="E290" s="10" t="s">
        <v>83</v>
      </c>
      <c r="F290" s="10" t="s">
        <v>83</v>
      </c>
      <c r="G290" s="18" t="s">
        <v>282</v>
      </c>
      <c r="H290" s="11" t="s">
        <v>83</v>
      </c>
      <c r="I290" s="102" t="s">
        <v>96</v>
      </c>
      <c r="J290" s="12">
        <f t="shared" si="117"/>
        <v>1208888</v>
      </c>
      <c r="K290" s="13">
        <f t="shared" si="117"/>
        <v>0</v>
      </c>
      <c r="L290" s="289">
        <f t="shared" si="117"/>
        <v>1202312</v>
      </c>
      <c r="M290" s="13">
        <f t="shared" si="117"/>
        <v>0</v>
      </c>
      <c r="N290" s="104">
        <f t="shared" si="117"/>
        <v>0</v>
      </c>
      <c r="O290" s="12">
        <f t="shared" si="117"/>
        <v>1202312</v>
      </c>
      <c r="P290" s="13">
        <f t="shared" si="117"/>
        <v>0</v>
      </c>
      <c r="Q290" s="104">
        <f t="shared" si="117"/>
        <v>516060</v>
      </c>
      <c r="R290" s="12">
        <f t="shared" si="117"/>
        <v>516060</v>
      </c>
      <c r="S290" s="104">
        <f t="shared" si="117"/>
        <v>0</v>
      </c>
      <c r="T290" s="12">
        <f t="shared" si="117"/>
        <v>1202312</v>
      </c>
      <c r="U290" s="13">
        <f t="shared" si="117"/>
        <v>0</v>
      </c>
      <c r="V290" s="103">
        <f t="shared" si="117"/>
        <v>516060</v>
      </c>
      <c r="W290" s="104">
        <f t="shared" si="117"/>
        <v>516060</v>
      </c>
      <c r="X290" s="104">
        <f t="shared" si="118"/>
        <v>0</v>
      </c>
      <c r="Y290" s="104">
        <f t="shared" si="118"/>
        <v>516060</v>
      </c>
      <c r="Z290" s="104">
        <f t="shared" si="118"/>
        <v>516060</v>
      </c>
    </row>
    <row r="291" spans="1:26" x14ac:dyDescent="0.2">
      <c r="A291" s="193"/>
      <c r="B291" s="250" t="s">
        <v>22</v>
      </c>
      <c r="C291" s="16" t="s">
        <v>1</v>
      </c>
      <c r="D291" s="10" t="s">
        <v>83</v>
      </c>
      <c r="E291" s="10" t="s">
        <v>83</v>
      </c>
      <c r="F291" s="10" t="s">
        <v>83</v>
      </c>
      <c r="G291" s="18" t="s">
        <v>282</v>
      </c>
      <c r="H291" s="11" t="s">
        <v>83</v>
      </c>
      <c r="I291" s="102" t="s">
        <v>23</v>
      </c>
      <c r="J291" s="12">
        <f>604444+604444</f>
        <v>1208888</v>
      </c>
      <c r="K291" s="13">
        <v>0</v>
      </c>
      <c r="L291" s="289">
        <f>601156+601156</f>
        <v>1202312</v>
      </c>
      <c r="M291" s="13">
        <v>0</v>
      </c>
      <c r="N291" s="104">
        <v>0</v>
      </c>
      <c r="O291" s="12">
        <f>601156+601156</f>
        <v>1202312</v>
      </c>
      <c r="P291" s="13">
        <v>0</v>
      </c>
      <c r="Q291" s="104">
        <v>516060</v>
      </c>
      <c r="R291" s="104">
        <f>Q291</f>
        <v>516060</v>
      </c>
      <c r="S291" s="105">
        <v>0</v>
      </c>
      <c r="T291" s="12">
        <f>601156+601156</f>
        <v>1202312</v>
      </c>
      <c r="U291" s="13">
        <v>0</v>
      </c>
      <c r="V291" s="103">
        <v>516060</v>
      </c>
      <c r="W291" s="104">
        <f>V291</f>
        <v>516060</v>
      </c>
      <c r="X291" s="104">
        <v>0</v>
      </c>
      <c r="Y291" s="104">
        <v>516060</v>
      </c>
      <c r="Z291" s="104">
        <f>Y291</f>
        <v>516060</v>
      </c>
    </row>
    <row r="292" spans="1:26" ht="63.75" x14ac:dyDescent="0.2">
      <c r="A292" s="193"/>
      <c r="B292" s="282" t="s">
        <v>312</v>
      </c>
      <c r="C292" s="39" t="s">
        <v>1</v>
      </c>
      <c r="D292" s="10" t="s">
        <v>83</v>
      </c>
      <c r="E292" s="10" t="s">
        <v>83</v>
      </c>
      <c r="F292" s="10" t="s">
        <v>83</v>
      </c>
      <c r="G292" s="18" t="s">
        <v>311</v>
      </c>
      <c r="H292" s="11" t="s">
        <v>83</v>
      </c>
      <c r="I292" s="102"/>
      <c r="J292" s="8">
        <f t="shared" ref="J292:Z293" si="119">J293</f>
        <v>297000</v>
      </c>
      <c r="K292" s="9">
        <f t="shared" si="119"/>
        <v>0</v>
      </c>
      <c r="L292" s="112">
        <f t="shared" si="119"/>
        <v>378116.54</v>
      </c>
      <c r="M292" s="111">
        <f t="shared" si="119"/>
        <v>0</v>
      </c>
      <c r="N292" s="112">
        <f t="shared" si="119"/>
        <v>0</v>
      </c>
      <c r="O292" s="8">
        <f t="shared" si="119"/>
        <v>393249.8</v>
      </c>
      <c r="P292" s="111">
        <f t="shared" si="119"/>
        <v>0</v>
      </c>
      <c r="Q292" s="112">
        <f t="shared" si="119"/>
        <v>174428</v>
      </c>
      <c r="R292" s="8">
        <f t="shared" si="119"/>
        <v>174428</v>
      </c>
      <c r="S292" s="112">
        <f t="shared" si="119"/>
        <v>0</v>
      </c>
      <c r="T292" s="113">
        <f t="shared" si="119"/>
        <v>408919.68</v>
      </c>
      <c r="U292" s="111">
        <f t="shared" si="119"/>
        <v>0</v>
      </c>
      <c r="V292" s="111">
        <f t="shared" si="119"/>
        <v>0</v>
      </c>
      <c r="W292" s="112">
        <f>W293</f>
        <v>0</v>
      </c>
      <c r="X292" s="112">
        <f t="shared" si="119"/>
        <v>0</v>
      </c>
      <c r="Y292" s="112">
        <f t="shared" si="119"/>
        <v>0</v>
      </c>
      <c r="Z292" s="112">
        <f t="shared" si="119"/>
        <v>0</v>
      </c>
    </row>
    <row r="293" spans="1:26" ht="25.5" x14ac:dyDescent="0.2">
      <c r="A293" s="193"/>
      <c r="B293" s="100" t="s">
        <v>21</v>
      </c>
      <c r="C293" s="39" t="s">
        <v>1</v>
      </c>
      <c r="D293" s="10" t="s">
        <v>83</v>
      </c>
      <c r="E293" s="10" t="s">
        <v>83</v>
      </c>
      <c r="F293" s="10" t="s">
        <v>83</v>
      </c>
      <c r="G293" s="18" t="s">
        <v>311</v>
      </c>
      <c r="H293" s="11" t="s">
        <v>83</v>
      </c>
      <c r="I293" s="198" t="s">
        <v>96</v>
      </c>
      <c r="J293" s="8">
        <f t="shared" si="119"/>
        <v>297000</v>
      </c>
      <c r="K293" s="9">
        <f t="shared" si="119"/>
        <v>0</v>
      </c>
      <c r="L293" s="112">
        <f t="shared" si="119"/>
        <v>378116.54</v>
      </c>
      <c r="M293" s="112">
        <f t="shared" si="119"/>
        <v>0</v>
      </c>
      <c r="N293" s="112">
        <f t="shared" si="119"/>
        <v>0</v>
      </c>
      <c r="O293" s="111">
        <f t="shared" si="119"/>
        <v>393249.8</v>
      </c>
      <c r="P293" s="111">
        <f t="shared" si="119"/>
        <v>0</v>
      </c>
      <c r="Q293" s="112">
        <f t="shared" si="119"/>
        <v>174428</v>
      </c>
      <c r="R293" s="112">
        <f t="shared" si="119"/>
        <v>174428</v>
      </c>
      <c r="S293" s="113">
        <f t="shared" si="119"/>
        <v>0</v>
      </c>
      <c r="T293" s="112">
        <f t="shared" si="119"/>
        <v>408919.68</v>
      </c>
      <c r="U293" s="111">
        <f t="shared" si="119"/>
        <v>0</v>
      </c>
      <c r="V293" s="112">
        <f t="shared" si="119"/>
        <v>0</v>
      </c>
      <c r="W293" s="113">
        <f t="shared" si="119"/>
        <v>0</v>
      </c>
      <c r="X293" s="112">
        <f t="shared" si="119"/>
        <v>0</v>
      </c>
      <c r="Y293" s="112">
        <f t="shared" si="119"/>
        <v>0</v>
      </c>
      <c r="Z293" s="112">
        <f t="shared" si="119"/>
        <v>0</v>
      </c>
    </row>
    <row r="294" spans="1:26" x14ac:dyDescent="0.2">
      <c r="A294" s="193"/>
      <c r="B294" s="100" t="s">
        <v>22</v>
      </c>
      <c r="C294" s="39" t="s">
        <v>1</v>
      </c>
      <c r="D294" s="10" t="s">
        <v>83</v>
      </c>
      <c r="E294" s="10" t="s">
        <v>83</v>
      </c>
      <c r="F294" s="10" t="s">
        <v>83</v>
      </c>
      <c r="G294" s="18" t="s">
        <v>311</v>
      </c>
      <c r="H294" s="11" t="s">
        <v>83</v>
      </c>
      <c r="I294" s="198" t="s">
        <v>23</v>
      </c>
      <c r="J294" s="8">
        <f>148500+148500</f>
        <v>297000</v>
      </c>
      <c r="K294" s="9">
        <v>0</v>
      </c>
      <c r="L294" s="112">
        <f>189058.27+189058.27</f>
        <v>378116.54</v>
      </c>
      <c r="M294" s="112">
        <v>0</v>
      </c>
      <c r="N294" s="112">
        <v>0</v>
      </c>
      <c r="O294" s="111">
        <f>196624.9+196624.9</f>
        <v>393249.8</v>
      </c>
      <c r="P294" s="111">
        <v>0</v>
      </c>
      <c r="Q294" s="112">
        <v>174428</v>
      </c>
      <c r="R294" s="112">
        <f>Q294</f>
        <v>174428</v>
      </c>
      <c r="S294" s="113">
        <v>0</v>
      </c>
      <c r="T294" s="112">
        <f>204459.84+204459.84</f>
        <v>408919.68</v>
      </c>
      <c r="U294" s="111">
        <v>0</v>
      </c>
      <c r="V294" s="112">
        <v>0</v>
      </c>
      <c r="W294" s="113">
        <v>0</v>
      </c>
      <c r="X294" s="112">
        <v>0</v>
      </c>
      <c r="Y294" s="112">
        <v>0</v>
      </c>
      <c r="Z294" s="112">
        <v>0</v>
      </c>
    </row>
    <row r="295" spans="1:26" ht="51" x14ac:dyDescent="0.2">
      <c r="A295" s="193"/>
      <c r="B295" s="250" t="s">
        <v>295</v>
      </c>
      <c r="C295" s="10" t="s">
        <v>1</v>
      </c>
      <c r="D295" s="10" t="s">
        <v>83</v>
      </c>
      <c r="E295" s="10" t="s">
        <v>83</v>
      </c>
      <c r="F295" s="10" t="s">
        <v>83</v>
      </c>
      <c r="G295" s="10" t="s">
        <v>294</v>
      </c>
      <c r="H295" s="11" t="s">
        <v>83</v>
      </c>
      <c r="I295" s="102"/>
      <c r="J295" s="12"/>
      <c r="K295" s="13"/>
      <c r="L295" s="289">
        <f t="shared" ref="L295:Z296" si="120">L296</f>
        <v>344827.8</v>
      </c>
      <c r="M295" s="13">
        <f t="shared" si="120"/>
        <v>0</v>
      </c>
      <c r="N295" s="104">
        <f t="shared" si="120"/>
        <v>0</v>
      </c>
      <c r="O295" s="12">
        <f t="shared" si="120"/>
        <v>0</v>
      </c>
      <c r="P295" s="13">
        <f t="shared" si="120"/>
        <v>0</v>
      </c>
      <c r="Q295" s="103">
        <f t="shared" si="120"/>
        <v>103448.34</v>
      </c>
      <c r="R295" s="104">
        <f t="shared" si="120"/>
        <v>103448.34</v>
      </c>
      <c r="S295" s="105">
        <f t="shared" si="120"/>
        <v>0</v>
      </c>
      <c r="T295" s="288">
        <f t="shared" si="120"/>
        <v>0</v>
      </c>
      <c r="U295" s="103"/>
      <c r="V295" s="104">
        <f t="shared" si="120"/>
        <v>0</v>
      </c>
      <c r="W295" s="104">
        <f t="shared" si="120"/>
        <v>0</v>
      </c>
      <c r="X295" s="104">
        <f t="shared" si="120"/>
        <v>0</v>
      </c>
      <c r="Y295" s="104">
        <f t="shared" si="120"/>
        <v>0</v>
      </c>
      <c r="Z295" s="105">
        <f t="shared" si="120"/>
        <v>0</v>
      </c>
    </row>
    <row r="296" spans="1:26" x14ac:dyDescent="0.2">
      <c r="A296" s="193"/>
      <c r="B296" s="250" t="s">
        <v>46</v>
      </c>
      <c r="C296" s="10" t="s">
        <v>1</v>
      </c>
      <c r="D296" s="10" t="s">
        <v>83</v>
      </c>
      <c r="E296" s="10" t="s">
        <v>83</v>
      </c>
      <c r="F296" s="10" t="s">
        <v>83</v>
      </c>
      <c r="G296" s="10" t="s">
        <v>294</v>
      </c>
      <c r="H296" s="11" t="s">
        <v>83</v>
      </c>
      <c r="I296" s="102" t="s">
        <v>47</v>
      </c>
      <c r="J296" s="12"/>
      <c r="K296" s="13"/>
      <c r="L296" s="289">
        <f t="shared" si="120"/>
        <v>344827.8</v>
      </c>
      <c r="M296" s="13">
        <f t="shared" si="120"/>
        <v>0</v>
      </c>
      <c r="N296" s="104">
        <f t="shared" si="120"/>
        <v>0</v>
      </c>
      <c r="O296" s="12">
        <f t="shared" si="120"/>
        <v>0</v>
      </c>
      <c r="P296" s="13">
        <f t="shared" si="120"/>
        <v>0</v>
      </c>
      <c r="Q296" s="103">
        <f t="shared" si="120"/>
        <v>103448.34</v>
      </c>
      <c r="R296" s="104">
        <f t="shared" si="120"/>
        <v>103448.34</v>
      </c>
      <c r="S296" s="105">
        <f t="shared" si="120"/>
        <v>0</v>
      </c>
      <c r="T296" s="288">
        <f t="shared" si="120"/>
        <v>0</v>
      </c>
      <c r="U296" s="103"/>
      <c r="V296" s="104">
        <f t="shared" si="120"/>
        <v>0</v>
      </c>
      <c r="W296" s="104">
        <f t="shared" si="120"/>
        <v>0</v>
      </c>
      <c r="X296" s="104">
        <f t="shared" si="120"/>
        <v>0</v>
      </c>
      <c r="Y296" s="104">
        <f t="shared" si="120"/>
        <v>0</v>
      </c>
      <c r="Z296" s="105">
        <f t="shared" si="120"/>
        <v>0</v>
      </c>
    </row>
    <row r="297" spans="1:26" x14ac:dyDescent="0.2">
      <c r="A297" s="193"/>
      <c r="B297" s="250" t="s">
        <v>267</v>
      </c>
      <c r="C297" s="10" t="s">
        <v>1</v>
      </c>
      <c r="D297" s="10" t="s">
        <v>83</v>
      </c>
      <c r="E297" s="10" t="s">
        <v>83</v>
      </c>
      <c r="F297" s="10" t="s">
        <v>83</v>
      </c>
      <c r="G297" s="10" t="s">
        <v>294</v>
      </c>
      <c r="H297" s="11" t="s">
        <v>83</v>
      </c>
      <c r="I297" s="102" t="s">
        <v>266</v>
      </c>
      <c r="J297" s="12"/>
      <c r="K297" s="13"/>
      <c r="L297" s="289">
        <v>344827.8</v>
      </c>
      <c r="M297" s="13">
        <v>0</v>
      </c>
      <c r="N297" s="104">
        <v>0</v>
      </c>
      <c r="O297" s="12">
        <v>0</v>
      </c>
      <c r="P297" s="13">
        <v>0</v>
      </c>
      <c r="Q297" s="103">
        <v>103448.34</v>
      </c>
      <c r="R297" s="104">
        <f>Q297</f>
        <v>103448.34</v>
      </c>
      <c r="S297" s="105">
        <v>0</v>
      </c>
      <c r="T297" s="288">
        <v>0</v>
      </c>
      <c r="U297" s="103"/>
      <c r="V297" s="104">
        <v>0</v>
      </c>
      <c r="W297" s="104">
        <v>0</v>
      </c>
      <c r="X297" s="104">
        <v>0</v>
      </c>
      <c r="Y297" s="104">
        <v>0</v>
      </c>
      <c r="Z297" s="105">
        <v>0</v>
      </c>
    </row>
    <row r="298" spans="1:26" ht="63.75" x14ac:dyDescent="0.2">
      <c r="A298" s="193"/>
      <c r="B298" s="282" t="s">
        <v>204</v>
      </c>
      <c r="C298" s="16" t="s">
        <v>1</v>
      </c>
      <c r="D298" s="10" t="s">
        <v>83</v>
      </c>
      <c r="E298" s="10" t="s">
        <v>83</v>
      </c>
      <c r="F298" s="10" t="s">
        <v>83</v>
      </c>
      <c r="G298" s="18" t="s">
        <v>109</v>
      </c>
      <c r="H298" s="11" t="s">
        <v>83</v>
      </c>
      <c r="I298" s="102"/>
      <c r="J298" s="40">
        <f t="shared" ref="J298:Y299" si="121">J299</f>
        <v>297000</v>
      </c>
      <c r="K298" s="97">
        <f t="shared" si="121"/>
        <v>0</v>
      </c>
      <c r="L298" s="98">
        <f t="shared" si="121"/>
        <v>378116.54</v>
      </c>
      <c r="M298" s="98">
        <f t="shared" si="121"/>
        <v>0</v>
      </c>
      <c r="N298" s="98">
        <f t="shared" si="121"/>
        <v>378116.54</v>
      </c>
      <c r="O298" s="98">
        <f t="shared" si="121"/>
        <v>393249.8</v>
      </c>
      <c r="P298" s="98">
        <f t="shared" si="121"/>
        <v>0</v>
      </c>
      <c r="Q298" s="98">
        <f t="shared" si="121"/>
        <v>0</v>
      </c>
      <c r="R298" s="98">
        <f t="shared" si="121"/>
        <v>378116.54</v>
      </c>
      <c r="S298" s="99">
        <f t="shared" si="121"/>
        <v>393249.8</v>
      </c>
      <c r="T298" s="99">
        <f t="shared" si="121"/>
        <v>408919.68</v>
      </c>
      <c r="U298" s="99">
        <f t="shared" si="121"/>
        <v>0</v>
      </c>
      <c r="V298" s="98">
        <f t="shared" si="121"/>
        <v>0</v>
      </c>
      <c r="W298" s="99">
        <f t="shared" si="121"/>
        <v>393249.8</v>
      </c>
      <c r="X298" s="99">
        <f t="shared" si="121"/>
        <v>408919.68</v>
      </c>
      <c r="Y298" s="99">
        <f t="shared" si="121"/>
        <v>0</v>
      </c>
      <c r="Z298" s="98">
        <f>Z299</f>
        <v>408919.68</v>
      </c>
    </row>
    <row r="299" spans="1:26" ht="25.5" x14ac:dyDescent="0.2">
      <c r="A299" s="193"/>
      <c r="B299" s="250" t="s">
        <v>21</v>
      </c>
      <c r="C299" s="16" t="s">
        <v>1</v>
      </c>
      <c r="D299" s="10" t="s">
        <v>83</v>
      </c>
      <c r="E299" s="10" t="s">
        <v>83</v>
      </c>
      <c r="F299" s="10" t="s">
        <v>83</v>
      </c>
      <c r="G299" s="18" t="s">
        <v>109</v>
      </c>
      <c r="H299" s="11" t="s">
        <v>83</v>
      </c>
      <c r="I299" s="102" t="s">
        <v>96</v>
      </c>
      <c r="J299" s="40">
        <f t="shared" si="121"/>
        <v>297000</v>
      </c>
      <c r="K299" s="97">
        <f t="shared" si="121"/>
        <v>0</v>
      </c>
      <c r="L299" s="98">
        <f t="shared" si="121"/>
        <v>378116.54</v>
      </c>
      <c r="M299" s="98">
        <f t="shared" si="121"/>
        <v>0</v>
      </c>
      <c r="N299" s="98">
        <f t="shared" si="121"/>
        <v>378116.54</v>
      </c>
      <c r="O299" s="98">
        <f t="shared" si="121"/>
        <v>393249.8</v>
      </c>
      <c r="P299" s="98">
        <f t="shared" si="121"/>
        <v>0</v>
      </c>
      <c r="Q299" s="98">
        <f t="shared" si="121"/>
        <v>0</v>
      </c>
      <c r="R299" s="98">
        <f t="shared" si="121"/>
        <v>378116.54</v>
      </c>
      <c r="S299" s="98">
        <f t="shared" si="121"/>
        <v>393249.8</v>
      </c>
      <c r="T299" s="99">
        <f t="shared" si="121"/>
        <v>408919.68</v>
      </c>
      <c r="U299" s="99">
        <f t="shared" si="121"/>
        <v>0</v>
      </c>
      <c r="V299" s="98">
        <f t="shared" si="121"/>
        <v>0</v>
      </c>
      <c r="W299" s="98">
        <f t="shared" si="121"/>
        <v>393249.8</v>
      </c>
      <c r="X299" s="99">
        <f t="shared" si="121"/>
        <v>408919.68</v>
      </c>
      <c r="Y299" s="99">
        <f>Y300</f>
        <v>0</v>
      </c>
      <c r="Z299" s="98">
        <f>Z300</f>
        <v>408919.68</v>
      </c>
    </row>
    <row r="300" spans="1:26" x14ac:dyDescent="0.2">
      <c r="A300" s="193"/>
      <c r="B300" s="250" t="s">
        <v>22</v>
      </c>
      <c r="C300" s="16" t="s">
        <v>1</v>
      </c>
      <c r="D300" s="10" t="s">
        <v>83</v>
      </c>
      <c r="E300" s="10" t="s">
        <v>83</v>
      </c>
      <c r="F300" s="10" t="s">
        <v>83</v>
      </c>
      <c r="G300" s="18" t="s">
        <v>109</v>
      </c>
      <c r="H300" s="11" t="s">
        <v>83</v>
      </c>
      <c r="I300" s="102" t="s">
        <v>23</v>
      </c>
      <c r="J300" s="40">
        <f>148500+148500</f>
        <v>297000</v>
      </c>
      <c r="K300" s="97">
        <v>0</v>
      </c>
      <c r="L300" s="112">
        <f>189058.27+189058.27</f>
        <v>378116.54</v>
      </c>
      <c r="M300" s="112">
        <v>0</v>
      </c>
      <c r="N300" s="112">
        <f>189058.27+189058.27</f>
        <v>378116.54</v>
      </c>
      <c r="O300" s="112">
        <f>196624.9+196624.9</f>
        <v>393249.8</v>
      </c>
      <c r="P300" s="112">
        <v>0</v>
      </c>
      <c r="Q300" s="112">
        <v>0</v>
      </c>
      <c r="R300" s="112">
        <f>189058.27+189058.27</f>
        <v>378116.54</v>
      </c>
      <c r="S300" s="112">
        <f>196624.9+196624.9</f>
        <v>393249.8</v>
      </c>
      <c r="T300" s="113">
        <f>204459.84+204459.84</f>
        <v>408919.68</v>
      </c>
      <c r="U300" s="113">
        <v>0</v>
      </c>
      <c r="V300" s="112">
        <v>0</v>
      </c>
      <c r="W300" s="112">
        <f>196624.9+196624.9</f>
        <v>393249.8</v>
      </c>
      <c r="X300" s="113">
        <f>204459.84+204459.84</f>
        <v>408919.68</v>
      </c>
      <c r="Y300" s="113">
        <v>0</v>
      </c>
      <c r="Z300" s="112">
        <f>204459.84+204459.84</f>
        <v>408919.68</v>
      </c>
    </row>
    <row r="301" spans="1:26" ht="76.5" x14ac:dyDescent="0.2">
      <c r="A301" s="193"/>
      <c r="B301" s="259" t="s">
        <v>296</v>
      </c>
      <c r="C301" s="10" t="s">
        <v>1</v>
      </c>
      <c r="D301" s="10" t="s">
        <v>83</v>
      </c>
      <c r="E301" s="10" t="s">
        <v>285</v>
      </c>
      <c r="F301" s="10" t="s">
        <v>286</v>
      </c>
      <c r="G301" s="10" t="s">
        <v>287</v>
      </c>
      <c r="H301" s="11" t="s">
        <v>81</v>
      </c>
      <c r="I301" s="102"/>
      <c r="J301" s="12">
        <f t="shared" ref="J301:T302" si="122">J302</f>
        <v>0</v>
      </c>
      <c r="K301" s="13">
        <f t="shared" si="122"/>
        <v>0</v>
      </c>
      <c r="L301" s="289">
        <f t="shared" si="122"/>
        <v>0</v>
      </c>
      <c r="M301" s="13">
        <f t="shared" si="122"/>
        <v>675816.12</v>
      </c>
      <c r="N301" s="104">
        <f t="shared" si="122"/>
        <v>0</v>
      </c>
      <c r="O301" s="12">
        <f t="shared" si="122"/>
        <v>0</v>
      </c>
      <c r="P301" s="13">
        <f t="shared" si="122"/>
        <v>4396968.58</v>
      </c>
      <c r="Q301" s="104">
        <f t="shared" si="122"/>
        <v>3997244.16</v>
      </c>
      <c r="R301" s="104">
        <f t="shared" si="122"/>
        <v>3997244.16</v>
      </c>
      <c r="S301" s="105">
        <f t="shared" si="122"/>
        <v>0</v>
      </c>
      <c r="T301" s="288">
        <f t="shared" si="122"/>
        <v>0</v>
      </c>
      <c r="U301" s="103"/>
      <c r="V301" s="104">
        <f>V302</f>
        <v>3997244.16</v>
      </c>
      <c r="W301" s="104">
        <f>W302</f>
        <v>3997244.16</v>
      </c>
      <c r="X301" s="104">
        <f t="shared" ref="X301:Z302" si="123">X302</f>
        <v>0</v>
      </c>
      <c r="Y301" s="104">
        <f t="shared" si="123"/>
        <v>4832268.84</v>
      </c>
      <c r="Z301" s="104">
        <f t="shared" si="123"/>
        <v>4832268.84</v>
      </c>
    </row>
    <row r="302" spans="1:26" ht="25.5" x14ac:dyDescent="0.2">
      <c r="A302" s="193"/>
      <c r="B302" s="250" t="s">
        <v>21</v>
      </c>
      <c r="C302" s="10" t="s">
        <v>1</v>
      </c>
      <c r="D302" s="10" t="s">
        <v>83</v>
      </c>
      <c r="E302" s="10" t="s">
        <v>285</v>
      </c>
      <c r="F302" s="10" t="s">
        <v>286</v>
      </c>
      <c r="G302" s="10" t="s">
        <v>287</v>
      </c>
      <c r="H302" s="11" t="s">
        <v>81</v>
      </c>
      <c r="I302" s="102" t="s">
        <v>96</v>
      </c>
      <c r="J302" s="12">
        <f t="shared" si="122"/>
        <v>0</v>
      </c>
      <c r="K302" s="13">
        <f t="shared" si="122"/>
        <v>0</v>
      </c>
      <c r="L302" s="289">
        <f t="shared" si="122"/>
        <v>0</v>
      </c>
      <c r="M302" s="13">
        <f t="shared" si="122"/>
        <v>675816.12</v>
      </c>
      <c r="N302" s="104">
        <f t="shared" si="122"/>
        <v>0</v>
      </c>
      <c r="O302" s="12">
        <f t="shared" si="122"/>
        <v>0</v>
      </c>
      <c r="P302" s="13">
        <f t="shared" si="122"/>
        <v>4396968.58</v>
      </c>
      <c r="Q302" s="104">
        <f t="shared" si="122"/>
        <v>3997244.16</v>
      </c>
      <c r="R302" s="104">
        <f t="shared" si="122"/>
        <v>3997244.16</v>
      </c>
      <c r="S302" s="105">
        <f t="shared" si="122"/>
        <v>0</v>
      </c>
      <c r="T302" s="288">
        <f t="shared" si="122"/>
        <v>0</v>
      </c>
      <c r="U302" s="103"/>
      <c r="V302" s="104">
        <f>V303</f>
        <v>3997244.16</v>
      </c>
      <c r="W302" s="104">
        <f>W303</f>
        <v>3997244.16</v>
      </c>
      <c r="X302" s="104">
        <f t="shared" si="123"/>
        <v>0</v>
      </c>
      <c r="Y302" s="104">
        <f t="shared" si="123"/>
        <v>4832268.84</v>
      </c>
      <c r="Z302" s="104">
        <f t="shared" si="123"/>
        <v>4832268.84</v>
      </c>
    </row>
    <row r="303" spans="1:26" x14ac:dyDescent="0.2">
      <c r="A303" s="193"/>
      <c r="B303" s="250" t="s">
        <v>22</v>
      </c>
      <c r="C303" s="10" t="s">
        <v>1</v>
      </c>
      <c r="D303" s="10" t="s">
        <v>83</v>
      </c>
      <c r="E303" s="10" t="s">
        <v>285</v>
      </c>
      <c r="F303" s="10" t="s">
        <v>286</v>
      </c>
      <c r="G303" s="10" t="s">
        <v>287</v>
      </c>
      <c r="H303" s="11" t="s">
        <v>81</v>
      </c>
      <c r="I303" s="102" t="s">
        <v>23</v>
      </c>
      <c r="J303" s="12">
        <v>0</v>
      </c>
      <c r="K303" s="13">
        <v>0</v>
      </c>
      <c r="L303" s="289">
        <v>0</v>
      </c>
      <c r="M303" s="13">
        <v>675816.12</v>
      </c>
      <c r="N303" s="104">
        <v>0</v>
      </c>
      <c r="O303" s="12">
        <v>0</v>
      </c>
      <c r="P303" s="13">
        <v>4396968.58</v>
      </c>
      <c r="Q303" s="104">
        <v>3997244.16</v>
      </c>
      <c r="R303" s="104">
        <f>Q303</f>
        <v>3997244.16</v>
      </c>
      <c r="S303" s="105">
        <v>0</v>
      </c>
      <c r="T303" s="288">
        <f>S303</f>
        <v>0</v>
      </c>
      <c r="U303" s="103"/>
      <c r="V303" s="104">
        <v>3997244.16</v>
      </c>
      <c r="W303" s="104">
        <v>3997244.16</v>
      </c>
      <c r="X303" s="104">
        <v>0</v>
      </c>
      <c r="Y303" s="104">
        <v>4832268.84</v>
      </c>
      <c r="Z303" s="104">
        <f>Y303</f>
        <v>4832268.84</v>
      </c>
    </row>
    <row r="304" spans="1:26" ht="8.25" customHeight="1" x14ac:dyDescent="0.2">
      <c r="A304" s="193"/>
      <c r="B304" s="100"/>
      <c r="C304" s="39"/>
      <c r="D304" s="17"/>
      <c r="E304" s="10"/>
      <c r="F304" s="10"/>
      <c r="G304" s="18"/>
      <c r="H304" s="11"/>
      <c r="I304" s="260"/>
      <c r="J304" s="40"/>
      <c r="K304" s="97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2"/>
      <c r="X304" s="113"/>
      <c r="Y304" s="113"/>
      <c r="Z304" s="113"/>
    </row>
    <row r="305" spans="1:26" hidden="1" x14ac:dyDescent="0.2">
      <c r="A305" s="193"/>
      <c r="B305" s="100"/>
      <c r="C305" s="39"/>
      <c r="D305" s="17"/>
      <c r="E305" s="10"/>
      <c r="F305" s="10"/>
      <c r="G305" s="18"/>
      <c r="H305" s="11"/>
      <c r="I305" s="260"/>
      <c r="J305" s="40"/>
      <c r="K305" s="97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303"/>
      <c r="X305" s="113"/>
      <c r="Y305" s="113"/>
      <c r="Z305" s="113"/>
    </row>
    <row r="306" spans="1:26" ht="62.25" customHeight="1" x14ac:dyDescent="0.2">
      <c r="A306" s="193"/>
      <c r="B306" s="279" t="s">
        <v>228</v>
      </c>
      <c r="C306" s="222" t="s">
        <v>103</v>
      </c>
      <c r="D306" s="223" t="s">
        <v>83</v>
      </c>
      <c r="E306" s="142" t="s">
        <v>83</v>
      </c>
      <c r="F306" s="142" t="s">
        <v>83</v>
      </c>
      <c r="G306" s="223" t="s">
        <v>84</v>
      </c>
      <c r="H306" s="130" t="s">
        <v>83</v>
      </c>
      <c r="I306" s="224"/>
      <c r="J306" s="143" t="e">
        <f>J307+J312+J315+#REF!+#REF!</f>
        <v>#REF!</v>
      </c>
      <c r="K306" s="144" t="e">
        <f>K307+K312+K315+#REF!+#REF!</f>
        <v>#REF!</v>
      </c>
      <c r="L306" s="144">
        <f>L307+L312+L315+L318</f>
        <v>56000</v>
      </c>
      <c r="M306" s="144">
        <f t="shared" ref="M306:X306" si="124">M307+M312+M315+M318</f>
        <v>744000</v>
      </c>
      <c r="N306" s="144">
        <f t="shared" si="124"/>
        <v>800000</v>
      </c>
      <c r="O306" s="144">
        <f t="shared" si="124"/>
        <v>7695390.3399999999</v>
      </c>
      <c r="P306" s="144">
        <f t="shared" si="124"/>
        <v>0</v>
      </c>
      <c r="Q306" s="144">
        <f>Q307+Q312+Q315+Q318</f>
        <v>181036.88</v>
      </c>
      <c r="R306" s="144">
        <f>R307+R312+R315+R318</f>
        <v>981036.88</v>
      </c>
      <c r="S306" s="145">
        <f t="shared" si="124"/>
        <v>7695390.3399999999</v>
      </c>
      <c r="T306" s="144">
        <f t="shared" si="124"/>
        <v>7750760.6500000004</v>
      </c>
      <c r="U306" s="144">
        <f t="shared" si="124"/>
        <v>0</v>
      </c>
      <c r="V306" s="145">
        <f>V307+V312+V315+V318</f>
        <v>0</v>
      </c>
      <c r="W306" s="145">
        <f>W307+W312+W315+W318</f>
        <v>7695390.3399999999</v>
      </c>
      <c r="X306" s="146">
        <f t="shared" si="124"/>
        <v>7750760.6500000004</v>
      </c>
      <c r="Y306" s="145">
        <f>Y307+Y312+Y315+Y318</f>
        <v>0</v>
      </c>
      <c r="Z306" s="145">
        <f>Z307+Z312+Z315+Z318</f>
        <v>7750760.6500000004</v>
      </c>
    </row>
    <row r="307" spans="1:26" ht="30.75" customHeight="1" x14ac:dyDescent="0.2">
      <c r="A307" s="193"/>
      <c r="B307" s="95" t="s">
        <v>37</v>
      </c>
      <c r="C307" s="39" t="s">
        <v>103</v>
      </c>
      <c r="D307" s="16" t="s">
        <v>83</v>
      </c>
      <c r="E307" s="16" t="s">
        <v>83</v>
      </c>
      <c r="F307" s="16" t="s">
        <v>83</v>
      </c>
      <c r="G307" s="16" t="s">
        <v>16</v>
      </c>
      <c r="H307" s="11" t="s">
        <v>83</v>
      </c>
      <c r="I307" s="102"/>
      <c r="J307" s="40">
        <f t="shared" ref="J307:X307" si="125">J308+J310</f>
        <v>6990162.1600000001</v>
      </c>
      <c r="K307" s="97">
        <f t="shared" si="125"/>
        <v>-4736052.88</v>
      </c>
      <c r="L307" s="97">
        <f t="shared" si="125"/>
        <v>56000</v>
      </c>
      <c r="M307" s="97">
        <f t="shared" si="125"/>
        <v>-56000</v>
      </c>
      <c r="N307" s="97">
        <f t="shared" si="125"/>
        <v>0</v>
      </c>
      <c r="O307" s="98">
        <f t="shared" si="125"/>
        <v>5400390.3399999999</v>
      </c>
      <c r="P307" s="98">
        <f t="shared" si="125"/>
        <v>0</v>
      </c>
      <c r="Q307" s="97">
        <f>Q308+Q310</f>
        <v>101036.88</v>
      </c>
      <c r="R307" s="97">
        <f>R308+R310</f>
        <v>101036.88</v>
      </c>
      <c r="S307" s="98">
        <f t="shared" si="125"/>
        <v>5400390.3399999999</v>
      </c>
      <c r="T307" s="98">
        <f t="shared" si="125"/>
        <v>5455760.6500000004</v>
      </c>
      <c r="U307" s="98">
        <f t="shared" si="125"/>
        <v>0</v>
      </c>
      <c r="V307" s="98">
        <f>V308+V310</f>
        <v>0</v>
      </c>
      <c r="W307" s="98">
        <f>W308+W310</f>
        <v>5400390.3399999999</v>
      </c>
      <c r="X307" s="98">
        <f t="shared" si="125"/>
        <v>5455760.6500000004</v>
      </c>
      <c r="Y307" s="98">
        <f>Y308+Y310</f>
        <v>0</v>
      </c>
      <c r="Z307" s="98">
        <f>Z308+Z310</f>
        <v>5455760.6500000004</v>
      </c>
    </row>
    <row r="308" spans="1:26" ht="25.5" x14ac:dyDescent="0.2">
      <c r="A308" s="193"/>
      <c r="B308" s="100" t="s">
        <v>42</v>
      </c>
      <c r="C308" s="39" t="s">
        <v>103</v>
      </c>
      <c r="D308" s="16" t="s">
        <v>83</v>
      </c>
      <c r="E308" s="16" t="s">
        <v>83</v>
      </c>
      <c r="F308" s="16" t="s">
        <v>83</v>
      </c>
      <c r="G308" s="16" t="s">
        <v>16</v>
      </c>
      <c r="H308" s="11" t="s">
        <v>83</v>
      </c>
      <c r="I308" s="102">
        <v>200</v>
      </c>
      <c r="J308" s="40">
        <f t="shared" ref="J308:Z308" si="126">J309</f>
        <v>6920162.1600000001</v>
      </c>
      <c r="K308" s="97">
        <f t="shared" si="126"/>
        <v>-4736052.88</v>
      </c>
      <c r="L308" s="137">
        <f t="shared" si="126"/>
        <v>56000</v>
      </c>
      <c r="M308" s="137">
        <f t="shared" si="126"/>
        <v>-56000</v>
      </c>
      <c r="N308" s="137">
        <f t="shared" si="126"/>
        <v>0</v>
      </c>
      <c r="O308" s="137">
        <f t="shared" si="126"/>
        <v>5330390.34</v>
      </c>
      <c r="P308" s="137">
        <f t="shared" si="126"/>
        <v>0</v>
      </c>
      <c r="Q308" s="137">
        <f t="shared" si="126"/>
        <v>31036.879999999997</v>
      </c>
      <c r="R308" s="137">
        <f t="shared" si="126"/>
        <v>31036.879999999997</v>
      </c>
      <c r="S308" s="137">
        <f t="shared" si="126"/>
        <v>5330390.34</v>
      </c>
      <c r="T308" s="137">
        <f t="shared" si="126"/>
        <v>5385760.6500000004</v>
      </c>
      <c r="U308" s="137">
        <f t="shared" si="126"/>
        <v>0</v>
      </c>
      <c r="V308" s="137">
        <f t="shared" si="126"/>
        <v>0</v>
      </c>
      <c r="W308" s="137">
        <f t="shared" si="126"/>
        <v>5330390.34</v>
      </c>
      <c r="X308" s="137">
        <f t="shared" si="126"/>
        <v>5385760.6500000004</v>
      </c>
      <c r="Y308" s="137">
        <f t="shared" si="126"/>
        <v>0</v>
      </c>
      <c r="Z308" s="137">
        <f t="shared" si="126"/>
        <v>5385760.6500000004</v>
      </c>
    </row>
    <row r="309" spans="1:26" ht="25.5" x14ac:dyDescent="0.2">
      <c r="A309" s="193"/>
      <c r="B309" s="100" t="s">
        <v>44</v>
      </c>
      <c r="C309" s="39" t="s">
        <v>103</v>
      </c>
      <c r="D309" s="16" t="s">
        <v>83</v>
      </c>
      <c r="E309" s="16" t="s">
        <v>83</v>
      </c>
      <c r="F309" s="16" t="s">
        <v>83</v>
      </c>
      <c r="G309" s="16" t="s">
        <v>16</v>
      </c>
      <c r="H309" s="11" t="s">
        <v>83</v>
      </c>
      <c r="I309" s="102">
        <v>240</v>
      </c>
      <c r="J309" s="40">
        <v>6920162.1600000001</v>
      </c>
      <c r="K309" s="97">
        <v>-4736052.88</v>
      </c>
      <c r="L309" s="104">
        <v>56000</v>
      </c>
      <c r="M309" s="104">
        <v>-56000</v>
      </c>
      <c r="N309" s="104">
        <v>0</v>
      </c>
      <c r="O309" s="104">
        <f>1400000+100000+2340000+418296.5+25727.05+1046366.79</f>
        <v>5330390.34</v>
      </c>
      <c r="P309" s="104">
        <v>0</v>
      </c>
      <c r="Q309" s="104">
        <f>11036.88+20000</f>
        <v>31036.879999999997</v>
      </c>
      <c r="R309" s="104">
        <f>Q309</f>
        <v>31036.879999999997</v>
      </c>
      <c r="S309" s="104">
        <v>5330390.34</v>
      </c>
      <c r="T309" s="104">
        <f>1400000+100000+2340000+418296.5+27242.83+1100221.32</f>
        <v>5385760.6500000004</v>
      </c>
      <c r="U309" s="104">
        <v>0</v>
      </c>
      <c r="V309" s="104">
        <v>0</v>
      </c>
      <c r="W309" s="104">
        <f>1400000+100000+2340000+418296.5+25727.05+1046366.79</f>
        <v>5330390.34</v>
      </c>
      <c r="X309" s="104">
        <f>1400000+100000+2340000+418296.5+27242.83+1100221.32</f>
        <v>5385760.6500000004</v>
      </c>
      <c r="Y309" s="104">
        <v>0</v>
      </c>
      <c r="Z309" s="104">
        <f>1400000+100000+2340000+418296.5+27242.83+1100221.32</f>
        <v>5385760.6500000004</v>
      </c>
    </row>
    <row r="310" spans="1:26" x14ac:dyDescent="0.2">
      <c r="A310" s="193"/>
      <c r="B310" s="100" t="s">
        <v>52</v>
      </c>
      <c r="C310" s="39" t="s">
        <v>103</v>
      </c>
      <c r="D310" s="16" t="s">
        <v>83</v>
      </c>
      <c r="E310" s="16" t="s">
        <v>83</v>
      </c>
      <c r="F310" s="16" t="s">
        <v>83</v>
      </c>
      <c r="G310" s="16" t="s">
        <v>16</v>
      </c>
      <c r="H310" s="11" t="s">
        <v>83</v>
      </c>
      <c r="I310" s="102" t="s">
        <v>53</v>
      </c>
      <c r="J310" s="40">
        <f t="shared" ref="J310:Z310" si="127">J311</f>
        <v>70000</v>
      </c>
      <c r="K310" s="97">
        <f t="shared" si="127"/>
        <v>0</v>
      </c>
      <c r="L310" s="137">
        <f t="shared" si="127"/>
        <v>0</v>
      </c>
      <c r="M310" s="137">
        <f t="shared" si="127"/>
        <v>0</v>
      </c>
      <c r="N310" s="137">
        <f t="shared" si="127"/>
        <v>0</v>
      </c>
      <c r="O310" s="137">
        <f t="shared" si="127"/>
        <v>70000</v>
      </c>
      <c r="P310" s="137">
        <f t="shared" si="127"/>
        <v>0</v>
      </c>
      <c r="Q310" s="137">
        <f t="shared" si="127"/>
        <v>70000</v>
      </c>
      <c r="R310" s="137">
        <f t="shared" si="127"/>
        <v>70000</v>
      </c>
      <c r="S310" s="137">
        <f t="shared" si="127"/>
        <v>70000</v>
      </c>
      <c r="T310" s="137">
        <f t="shared" si="127"/>
        <v>70000</v>
      </c>
      <c r="U310" s="137">
        <f t="shared" si="127"/>
        <v>0</v>
      </c>
      <c r="V310" s="137">
        <f t="shared" si="127"/>
        <v>0</v>
      </c>
      <c r="W310" s="137">
        <f t="shared" si="127"/>
        <v>70000</v>
      </c>
      <c r="X310" s="137">
        <f t="shared" si="127"/>
        <v>70000</v>
      </c>
      <c r="Y310" s="137">
        <f t="shared" si="127"/>
        <v>0</v>
      </c>
      <c r="Z310" s="137">
        <f t="shared" si="127"/>
        <v>70000</v>
      </c>
    </row>
    <row r="311" spans="1:26" x14ac:dyDescent="0.2">
      <c r="A311" s="193"/>
      <c r="B311" s="100" t="s">
        <v>54</v>
      </c>
      <c r="C311" s="39" t="s">
        <v>103</v>
      </c>
      <c r="D311" s="16" t="s">
        <v>83</v>
      </c>
      <c r="E311" s="16" t="s">
        <v>83</v>
      </c>
      <c r="F311" s="16" t="s">
        <v>83</v>
      </c>
      <c r="G311" s="16" t="s">
        <v>16</v>
      </c>
      <c r="H311" s="11" t="s">
        <v>83</v>
      </c>
      <c r="I311" s="102" t="s">
        <v>55</v>
      </c>
      <c r="J311" s="40">
        <v>70000</v>
      </c>
      <c r="K311" s="97">
        <v>0</v>
      </c>
      <c r="L311" s="104">
        <v>0</v>
      </c>
      <c r="M311" s="104">
        <v>0</v>
      </c>
      <c r="N311" s="104">
        <v>0</v>
      </c>
      <c r="O311" s="104">
        <v>70000</v>
      </c>
      <c r="P311" s="104">
        <v>0</v>
      </c>
      <c r="Q311" s="104">
        <v>70000</v>
      </c>
      <c r="R311" s="104">
        <f>Q311</f>
        <v>70000</v>
      </c>
      <c r="S311" s="104">
        <v>70000</v>
      </c>
      <c r="T311" s="104">
        <v>70000</v>
      </c>
      <c r="U311" s="104">
        <v>0</v>
      </c>
      <c r="V311" s="104">
        <v>0</v>
      </c>
      <c r="W311" s="104">
        <v>70000</v>
      </c>
      <c r="X311" s="104">
        <v>70000</v>
      </c>
      <c r="Y311" s="104">
        <v>0</v>
      </c>
      <c r="Z311" s="104">
        <v>70000</v>
      </c>
    </row>
    <row r="312" spans="1:26" ht="19.5" customHeight="1" x14ac:dyDescent="0.2">
      <c r="A312" s="193"/>
      <c r="B312" s="100" t="s">
        <v>71</v>
      </c>
      <c r="C312" s="34" t="s">
        <v>103</v>
      </c>
      <c r="D312" s="10" t="s">
        <v>83</v>
      </c>
      <c r="E312" s="16" t="s">
        <v>83</v>
      </c>
      <c r="F312" s="16" t="s">
        <v>83</v>
      </c>
      <c r="G312" s="10" t="s">
        <v>89</v>
      </c>
      <c r="H312" s="11" t="s">
        <v>83</v>
      </c>
      <c r="I312" s="102"/>
      <c r="J312" s="40">
        <f t="shared" ref="J312:Y313" si="128">J313</f>
        <v>595000</v>
      </c>
      <c r="K312" s="97">
        <f t="shared" si="128"/>
        <v>-95000</v>
      </c>
      <c r="L312" s="97">
        <f t="shared" si="128"/>
        <v>0</v>
      </c>
      <c r="M312" s="97">
        <f t="shared" si="128"/>
        <v>0</v>
      </c>
      <c r="N312" s="97">
        <f t="shared" si="128"/>
        <v>0</v>
      </c>
      <c r="O312" s="98">
        <f t="shared" si="128"/>
        <v>1095000</v>
      </c>
      <c r="P312" s="98">
        <f t="shared" si="128"/>
        <v>0</v>
      </c>
      <c r="Q312" s="97">
        <f t="shared" si="128"/>
        <v>80000</v>
      </c>
      <c r="R312" s="97">
        <f t="shared" si="128"/>
        <v>80000</v>
      </c>
      <c r="S312" s="98">
        <f t="shared" si="128"/>
        <v>1095000</v>
      </c>
      <c r="T312" s="98">
        <f t="shared" si="128"/>
        <v>1095000</v>
      </c>
      <c r="U312" s="98">
        <f t="shared" si="128"/>
        <v>0</v>
      </c>
      <c r="V312" s="98">
        <f t="shared" si="128"/>
        <v>0</v>
      </c>
      <c r="W312" s="98">
        <f t="shared" si="128"/>
        <v>1095000</v>
      </c>
      <c r="X312" s="98">
        <f t="shared" si="128"/>
        <v>1095000</v>
      </c>
      <c r="Y312" s="98">
        <f t="shared" si="128"/>
        <v>0</v>
      </c>
      <c r="Z312" s="98">
        <f>Z313</f>
        <v>1095000</v>
      </c>
    </row>
    <row r="313" spans="1:26" ht="25.5" x14ac:dyDescent="0.2">
      <c r="A313" s="193"/>
      <c r="B313" s="100" t="s">
        <v>42</v>
      </c>
      <c r="C313" s="34" t="s">
        <v>103</v>
      </c>
      <c r="D313" s="10" t="s">
        <v>83</v>
      </c>
      <c r="E313" s="16" t="s">
        <v>83</v>
      </c>
      <c r="F313" s="16" t="s">
        <v>83</v>
      </c>
      <c r="G313" s="10" t="s">
        <v>89</v>
      </c>
      <c r="H313" s="11" t="s">
        <v>83</v>
      </c>
      <c r="I313" s="102" t="s">
        <v>43</v>
      </c>
      <c r="J313" s="40">
        <f t="shared" si="128"/>
        <v>595000</v>
      </c>
      <c r="K313" s="97">
        <f t="shared" si="128"/>
        <v>-95000</v>
      </c>
      <c r="L313" s="97">
        <f t="shared" si="128"/>
        <v>0</v>
      </c>
      <c r="M313" s="97">
        <f t="shared" si="128"/>
        <v>0</v>
      </c>
      <c r="N313" s="97">
        <f t="shared" si="128"/>
        <v>0</v>
      </c>
      <c r="O313" s="98">
        <f t="shared" si="128"/>
        <v>1095000</v>
      </c>
      <c r="P313" s="98">
        <f t="shared" si="128"/>
        <v>0</v>
      </c>
      <c r="Q313" s="97">
        <f t="shared" si="128"/>
        <v>80000</v>
      </c>
      <c r="R313" s="97">
        <f t="shared" si="128"/>
        <v>80000</v>
      </c>
      <c r="S313" s="98">
        <f t="shared" si="128"/>
        <v>1095000</v>
      </c>
      <c r="T313" s="98">
        <f t="shared" si="128"/>
        <v>1095000</v>
      </c>
      <c r="U313" s="98">
        <f t="shared" si="128"/>
        <v>0</v>
      </c>
      <c r="V313" s="98">
        <f t="shared" si="128"/>
        <v>0</v>
      </c>
      <c r="W313" s="98">
        <f t="shared" si="128"/>
        <v>1095000</v>
      </c>
      <c r="X313" s="98">
        <f t="shared" si="128"/>
        <v>1095000</v>
      </c>
      <c r="Y313" s="98">
        <f>Y314</f>
        <v>0</v>
      </c>
      <c r="Z313" s="98">
        <f>Z314</f>
        <v>1095000</v>
      </c>
    </row>
    <row r="314" spans="1:26" ht="25.5" x14ac:dyDescent="0.2">
      <c r="A314" s="193"/>
      <c r="B314" s="100" t="s">
        <v>44</v>
      </c>
      <c r="C314" s="34" t="s">
        <v>103</v>
      </c>
      <c r="D314" s="10" t="s">
        <v>83</v>
      </c>
      <c r="E314" s="16" t="s">
        <v>83</v>
      </c>
      <c r="F314" s="16" t="s">
        <v>83</v>
      </c>
      <c r="G314" s="10" t="s">
        <v>89</v>
      </c>
      <c r="H314" s="11" t="s">
        <v>83</v>
      </c>
      <c r="I314" s="102" t="s">
        <v>45</v>
      </c>
      <c r="J314" s="40">
        <v>595000</v>
      </c>
      <c r="K314" s="97">
        <v>-95000</v>
      </c>
      <c r="L314" s="104">
        <v>0</v>
      </c>
      <c r="M314" s="104">
        <v>0</v>
      </c>
      <c r="N314" s="104">
        <v>0</v>
      </c>
      <c r="O314" s="104">
        <f>200000+895000</f>
        <v>1095000</v>
      </c>
      <c r="P314" s="104">
        <v>0</v>
      </c>
      <c r="Q314" s="104">
        <v>80000</v>
      </c>
      <c r="R314" s="104">
        <f>Q314</f>
        <v>80000</v>
      </c>
      <c r="S314" s="104">
        <f>200000+895000</f>
        <v>1095000</v>
      </c>
      <c r="T314" s="104">
        <f>200000+895000</f>
        <v>1095000</v>
      </c>
      <c r="U314" s="104">
        <v>0</v>
      </c>
      <c r="V314" s="104">
        <v>0</v>
      </c>
      <c r="W314" s="104">
        <f>200000+895000</f>
        <v>1095000</v>
      </c>
      <c r="X314" s="104">
        <f>200000+895000</f>
        <v>1095000</v>
      </c>
      <c r="Y314" s="104">
        <v>0</v>
      </c>
      <c r="Z314" s="104">
        <f>200000+895000</f>
        <v>1095000</v>
      </c>
    </row>
    <row r="315" spans="1:26" ht="20.25" customHeight="1" x14ac:dyDescent="0.2">
      <c r="A315" s="193"/>
      <c r="B315" s="147" t="s">
        <v>121</v>
      </c>
      <c r="C315" s="36" t="s">
        <v>103</v>
      </c>
      <c r="D315" s="14" t="s">
        <v>83</v>
      </c>
      <c r="E315" s="10" t="s">
        <v>83</v>
      </c>
      <c r="F315" s="10" t="s">
        <v>83</v>
      </c>
      <c r="G315" s="15" t="s">
        <v>112</v>
      </c>
      <c r="H315" s="11" t="s">
        <v>83</v>
      </c>
      <c r="I315" s="96"/>
      <c r="J315" s="40">
        <f t="shared" ref="J315:Y316" si="129">J316</f>
        <v>500000</v>
      </c>
      <c r="K315" s="97">
        <f t="shared" si="129"/>
        <v>0</v>
      </c>
      <c r="L315" s="97">
        <f t="shared" si="129"/>
        <v>0</v>
      </c>
      <c r="M315" s="97">
        <f t="shared" si="129"/>
        <v>0</v>
      </c>
      <c r="N315" s="97">
        <f t="shared" si="129"/>
        <v>0</v>
      </c>
      <c r="O315" s="98">
        <f t="shared" si="129"/>
        <v>1200000</v>
      </c>
      <c r="P315" s="98">
        <f t="shared" si="129"/>
        <v>0</v>
      </c>
      <c r="Q315" s="97">
        <f t="shared" si="129"/>
        <v>0</v>
      </c>
      <c r="R315" s="97">
        <f t="shared" si="129"/>
        <v>0</v>
      </c>
      <c r="S315" s="98">
        <f t="shared" si="129"/>
        <v>1200000</v>
      </c>
      <c r="T315" s="98">
        <f t="shared" si="129"/>
        <v>1200000</v>
      </c>
      <c r="U315" s="98">
        <f t="shared" si="129"/>
        <v>0</v>
      </c>
      <c r="V315" s="98">
        <f t="shared" si="129"/>
        <v>0</v>
      </c>
      <c r="W315" s="98">
        <f t="shared" si="129"/>
        <v>1200000</v>
      </c>
      <c r="X315" s="98">
        <f t="shared" si="129"/>
        <v>1200000</v>
      </c>
      <c r="Y315" s="98">
        <f t="shared" si="129"/>
        <v>0</v>
      </c>
      <c r="Z315" s="98">
        <f>Z316</f>
        <v>1200000</v>
      </c>
    </row>
    <row r="316" spans="1:26" ht="25.5" x14ac:dyDescent="0.2">
      <c r="A316" s="193"/>
      <c r="B316" s="100" t="s">
        <v>42</v>
      </c>
      <c r="C316" s="36" t="s">
        <v>103</v>
      </c>
      <c r="D316" s="14" t="s">
        <v>83</v>
      </c>
      <c r="E316" s="10" t="s">
        <v>83</v>
      </c>
      <c r="F316" s="10" t="s">
        <v>83</v>
      </c>
      <c r="G316" s="15" t="s">
        <v>112</v>
      </c>
      <c r="H316" s="11" t="s">
        <v>83</v>
      </c>
      <c r="I316" s="96" t="s">
        <v>43</v>
      </c>
      <c r="J316" s="40">
        <f t="shared" si="129"/>
        <v>500000</v>
      </c>
      <c r="K316" s="97">
        <f t="shared" si="129"/>
        <v>0</v>
      </c>
      <c r="L316" s="97">
        <f t="shared" si="129"/>
        <v>0</v>
      </c>
      <c r="M316" s="97">
        <f t="shared" si="129"/>
        <v>0</v>
      </c>
      <c r="N316" s="97">
        <f t="shared" si="129"/>
        <v>0</v>
      </c>
      <c r="O316" s="98">
        <f t="shared" si="129"/>
        <v>1200000</v>
      </c>
      <c r="P316" s="98">
        <f t="shared" si="129"/>
        <v>0</v>
      </c>
      <c r="Q316" s="97">
        <f t="shared" si="129"/>
        <v>0</v>
      </c>
      <c r="R316" s="97">
        <f t="shared" si="129"/>
        <v>0</v>
      </c>
      <c r="S316" s="98">
        <f t="shared" si="129"/>
        <v>1200000</v>
      </c>
      <c r="T316" s="98">
        <f t="shared" si="129"/>
        <v>1200000</v>
      </c>
      <c r="U316" s="98">
        <f t="shared" si="129"/>
        <v>0</v>
      </c>
      <c r="V316" s="98">
        <f t="shared" si="129"/>
        <v>0</v>
      </c>
      <c r="W316" s="98">
        <f t="shared" si="129"/>
        <v>1200000</v>
      </c>
      <c r="X316" s="98">
        <f t="shared" si="129"/>
        <v>1200000</v>
      </c>
      <c r="Y316" s="98">
        <f>Y317</f>
        <v>0</v>
      </c>
      <c r="Z316" s="98">
        <f>Z317</f>
        <v>1200000</v>
      </c>
    </row>
    <row r="317" spans="1:26" ht="25.5" x14ac:dyDescent="0.2">
      <c r="A317" s="193"/>
      <c r="B317" s="100" t="s">
        <v>44</v>
      </c>
      <c r="C317" s="36" t="s">
        <v>103</v>
      </c>
      <c r="D317" s="14" t="s">
        <v>83</v>
      </c>
      <c r="E317" s="10" t="s">
        <v>83</v>
      </c>
      <c r="F317" s="10" t="s">
        <v>83</v>
      </c>
      <c r="G317" s="15" t="s">
        <v>112</v>
      </c>
      <c r="H317" s="11" t="s">
        <v>83</v>
      </c>
      <c r="I317" s="96" t="s">
        <v>45</v>
      </c>
      <c r="J317" s="40">
        <v>500000</v>
      </c>
      <c r="K317" s="97">
        <v>0</v>
      </c>
      <c r="L317" s="104">
        <v>0</v>
      </c>
      <c r="M317" s="104">
        <v>0</v>
      </c>
      <c r="N317" s="104">
        <v>0</v>
      </c>
      <c r="O317" s="104">
        <v>1200000</v>
      </c>
      <c r="P317" s="104">
        <v>0</v>
      </c>
      <c r="Q317" s="104">
        <v>0</v>
      </c>
      <c r="R317" s="104">
        <v>0</v>
      </c>
      <c r="S317" s="104">
        <v>1200000</v>
      </c>
      <c r="T317" s="104">
        <v>1200000</v>
      </c>
      <c r="U317" s="104">
        <v>0</v>
      </c>
      <c r="V317" s="104">
        <v>0</v>
      </c>
      <c r="W317" s="104">
        <v>1200000</v>
      </c>
      <c r="X317" s="104">
        <v>1200000</v>
      </c>
      <c r="Y317" s="104">
        <v>0</v>
      </c>
      <c r="Z317" s="104">
        <v>1200000</v>
      </c>
    </row>
    <row r="318" spans="1:26" ht="63.75" x14ac:dyDescent="0.2">
      <c r="A318" s="193"/>
      <c r="B318" s="251" t="s">
        <v>273</v>
      </c>
      <c r="C318" s="16" t="s">
        <v>103</v>
      </c>
      <c r="D318" s="16" t="s">
        <v>83</v>
      </c>
      <c r="E318" s="10" t="s">
        <v>83</v>
      </c>
      <c r="F318" s="10" t="s">
        <v>83</v>
      </c>
      <c r="G318" s="16" t="s">
        <v>272</v>
      </c>
      <c r="H318" s="11" t="s">
        <v>83</v>
      </c>
      <c r="I318" s="102"/>
      <c r="J318" s="32"/>
      <c r="K318" s="33"/>
      <c r="L318" s="104">
        <f t="shared" ref="L318:Z319" si="130">L319</f>
        <v>0</v>
      </c>
      <c r="M318" s="104">
        <f t="shared" si="130"/>
        <v>800000</v>
      </c>
      <c r="N318" s="104">
        <f t="shared" si="130"/>
        <v>800000</v>
      </c>
      <c r="O318" s="104">
        <f t="shared" si="130"/>
        <v>0</v>
      </c>
      <c r="P318" s="104">
        <f t="shared" si="130"/>
        <v>0</v>
      </c>
      <c r="Q318" s="104">
        <f t="shared" si="130"/>
        <v>0</v>
      </c>
      <c r="R318" s="104">
        <f t="shared" si="130"/>
        <v>800000</v>
      </c>
      <c r="S318" s="104">
        <f t="shared" si="130"/>
        <v>0</v>
      </c>
      <c r="T318" s="104">
        <f t="shared" si="130"/>
        <v>0</v>
      </c>
      <c r="U318" s="104">
        <f t="shared" si="130"/>
        <v>0</v>
      </c>
      <c r="V318" s="104">
        <f t="shared" si="130"/>
        <v>0</v>
      </c>
      <c r="W318" s="104">
        <f t="shared" si="130"/>
        <v>0</v>
      </c>
      <c r="X318" s="104">
        <f t="shared" si="130"/>
        <v>0</v>
      </c>
      <c r="Y318" s="104">
        <f t="shared" si="130"/>
        <v>0</v>
      </c>
      <c r="Z318" s="104">
        <f t="shared" si="130"/>
        <v>0</v>
      </c>
    </row>
    <row r="319" spans="1:26" ht="25.5" x14ac:dyDescent="0.2">
      <c r="A319" s="193"/>
      <c r="B319" s="250" t="s">
        <v>42</v>
      </c>
      <c r="C319" s="16" t="s">
        <v>103</v>
      </c>
      <c r="D319" s="16" t="s">
        <v>83</v>
      </c>
      <c r="E319" s="10" t="s">
        <v>83</v>
      </c>
      <c r="F319" s="10" t="s">
        <v>83</v>
      </c>
      <c r="G319" s="16" t="s">
        <v>272</v>
      </c>
      <c r="H319" s="11" t="s">
        <v>83</v>
      </c>
      <c r="I319" s="102">
        <v>200</v>
      </c>
      <c r="J319" s="32"/>
      <c r="K319" s="33"/>
      <c r="L319" s="104">
        <v>0</v>
      </c>
      <c r="M319" s="104">
        <f>M320</f>
        <v>800000</v>
      </c>
      <c r="N319" s="104">
        <f>N320</f>
        <v>800000</v>
      </c>
      <c r="O319" s="104">
        <v>0</v>
      </c>
      <c r="P319" s="104">
        <f>P320</f>
        <v>0</v>
      </c>
      <c r="Q319" s="104">
        <f>Q320</f>
        <v>0</v>
      </c>
      <c r="R319" s="104">
        <f>R320</f>
        <v>800000</v>
      </c>
      <c r="S319" s="104">
        <f>S320</f>
        <v>0</v>
      </c>
      <c r="T319" s="104">
        <v>0</v>
      </c>
      <c r="U319" s="104">
        <f>U320</f>
        <v>0</v>
      </c>
      <c r="V319" s="104">
        <f t="shared" si="130"/>
        <v>0</v>
      </c>
      <c r="W319" s="104">
        <f t="shared" si="130"/>
        <v>0</v>
      </c>
      <c r="X319" s="104">
        <f>X320</f>
        <v>0</v>
      </c>
      <c r="Y319" s="104">
        <f t="shared" si="130"/>
        <v>0</v>
      </c>
      <c r="Z319" s="104">
        <f t="shared" si="130"/>
        <v>0</v>
      </c>
    </row>
    <row r="320" spans="1:26" ht="25.5" x14ac:dyDescent="0.2">
      <c r="A320" s="193"/>
      <c r="B320" s="250" t="s">
        <v>44</v>
      </c>
      <c r="C320" s="16" t="s">
        <v>103</v>
      </c>
      <c r="D320" s="16" t="s">
        <v>83</v>
      </c>
      <c r="E320" s="10" t="s">
        <v>83</v>
      </c>
      <c r="F320" s="10" t="s">
        <v>83</v>
      </c>
      <c r="G320" s="16" t="s">
        <v>272</v>
      </c>
      <c r="H320" s="11" t="s">
        <v>83</v>
      </c>
      <c r="I320" s="102">
        <v>240</v>
      </c>
      <c r="J320" s="32"/>
      <c r="K320" s="33"/>
      <c r="L320" s="104">
        <f>L319</f>
        <v>0</v>
      </c>
      <c r="M320" s="104">
        <f>744000+56000</f>
        <v>800000</v>
      </c>
      <c r="N320" s="104">
        <f>M320</f>
        <v>800000</v>
      </c>
      <c r="O320" s="104">
        <f>O319</f>
        <v>0</v>
      </c>
      <c r="P320" s="104">
        <v>0</v>
      </c>
      <c r="Q320" s="104">
        <f>P320</f>
        <v>0</v>
      </c>
      <c r="R320" s="104">
        <v>800000</v>
      </c>
      <c r="S320" s="104">
        <f>P320</f>
        <v>0</v>
      </c>
      <c r="T320" s="104">
        <f>T319</f>
        <v>0</v>
      </c>
      <c r="U320" s="104">
        <v>0</v>
      </c>
      <c r="V320" s="104">
        <f>S320</f>
        <v>0</v>
      </c>
      <c r="W320" s="104">
        <f>T320</f>
        <v>0</v>
      </c>
      <c r="X320" s="104">
        <f>U320</f>
        <v>0</v>
      </c>
      <c r="Y320" s="104">
        <f>V320</f>
        <v>0</v>
      </c>
      <c r="Z320" s="104">
        <f>W320</f>
        <v>0</v>
      </c>
    </row>
    <row r="321" spans="1:26" x14ac:dyDescent="0.2">
      <c r="A321" s="193"/>
      <c r="B321" s="169"/>
      <c r="C321" s="194"/>
      <c r="D321" s="49"/>
      <c r="E321" s="26"/>
      <c r="F321" s="26"/>
      <c r="G321" s="49"/>
      <c r="H321" s="28"/>
      <c r="I321" s="196"/>
      <c r="J321" s="177"/>
      <c r="K321" s="153"/>
      <c r="L321" s="153"/>
      <c r="M321" s="153"/>
      <c r="N321" s="153"/>
      <c r="O321" s="154"/>
      <c r="P321" s="154"/>
      <c r="Q321" s="153"/>
      <c r="R321" s="153"/>
      <c r="S321" s="154"/>
      <c r="T321" s="154"/>
      <c r="U321" s="154"/>
      <c r="V321" s="154"/>
      <c r="W321" s="154"/>
      <c r="X321" s="154"/>
      <c r="Y321" s="154"/>
      <c r="Z321" s="154"/>
    </row>
    <row r="322" spans="1:26" ht="6" customHeight="1" x14ac:dyDescent="0.2">
      <c r="A322" s="193"/>
      <c r="B322" s="156"/>
      <c r="C322" s="225"/>
      <c r="D322" s="226"/>
      <c r="E322" s="226"/>
      <c r="F322" s="226"/>
      <c r="G322" s="227"/>
      <c r="H322" s="228"/>
      <c r="I322" s="161"/>
      <c r="J322" s="199"/>
      <c r="K322" s="200"/>
      <c r="L322" s="200"/>
      <c r="M322" s="200"/>
      <c r="N322" s="200"/>
      <c r="O322" s="201"/>
      <c r="P322" s="201"/>
      <c r="Q322" s="201"/>
      <c r="R322" s="199"/>
      <c r="S322" s="201"/>
      <c r="T322" s="201"/>
      <c r="U322" s="201"/>
      <c r="V322" s="201"/>
      <c r="W322" s="201"/>
      <c r="X322" s="201"/>
      <c r="Y322" s="201"/>
      <c r="Z322" s="201"/>
    </row>
    <row r="323" spans="1:26" ht="39" customHeight="1" x14ac:dyDescent="0.2">
      <c r="A323" s="193"/>
      <c r="B323" s="139" t="s">
        <v>258</v>
      </c>
      <c r="C323" s="191" t="s">
        <v>123</v>
      </c>
      <c r="D323" s="115" t="s">
        <v>83</v>
      </c>
      <c r="E323" s="115" t="s">
        <v>83</v>
      </c>
      <c r="F323" s="115" t="s">
        <v>83</v>
      </c>
      <c r="G323" s="115" t="s">
        <v>84</v>
      </c>
      <c r="H323" s="116" t="s">
        <v>83</v>
      </c>
      <c r="I323" s="192"/>
      <c r="J323" s="83" t="e">
        <f>J327</f>
        <v>#REF!</v>
      </c>
      <c r="K323" s="84" t="e">
        <f>K327</f>
        <v>#REF!</v>
      </c>
      <c r="L323" s="85">
        <f>L327+L324+L332</f>
        <v>0</v>
      </c>
      <c r="M323" s="85">
        <f>M327+M324+M332</f>
        <v>184116316</v>
      </c>
      <c r="N323" s="85">
        <f>N327+N324+N332+N335</f>
        <v>184116316</v>
      </c>
      <c r="O323" s="85">
        <f t="shared" ref="O323:Z323" si="131">O327+O324+O332+O335</f>
        <v>1363560.0899999999</v>
      </c>
      <c r="P323" s="85">
        <f t="shared" si="131"/>
        <v>0</v>
      </c>
      <c r="Q323" s="85">
        <f t="shared" si="131"/>
        <v>4858320</v>
      </c>
      <c r="R323" s="85">
        <f t="shared" si="131"/>
        <v>188974636</v>
      </c>
      <c r="S323" s="85">
        <f t="shared" si="131"/>
        <v>1363560.0899999999</v>
      </c>
      <c r="T323" s="85">
        <f t="shared" si="131"/>
        <v>1380060.0899999999</v>
      </c>
      <c r="U323" s="85">
        <f t="shared" si="131"/>
        <v>0</v>
      </c>
      <c r="V323" s="85">
        <f t="shared" si="131"/>
        <v>0</v>
      </c>
      <c r="W323" s="85">
        <f t="shared" si="131"/>
        <v>1363560.0899999999</v>
      </c>
      <c r="X323" s="85">
        <f t="shared" si="131"/>
        <v>1380060.0899999999</v>
      </c>
      <c r="Y323" s="85">
        <f t="shared" si="131"/>
        <v>0</v>
      </c>
      <c r="Z323" s="85">
        <f t="shared" si="131"/>
        <v>1380060.0899999999</v>
      </c>
    </row>
    <row r="324" spans="1:26" ht="32.25" hidden="1" customHeight="1" x14ac:dyDescent="0.2">
      <c r="A324" s="193"/>
      <c r="B324" s="166" t="s">
        <v>120</v>
      </c>
      <c r="C324" s="34" t="s">
        <v>123</v>
      </c>
      <c r="D324" s="10" t="s">
        <v>83</v>
      </c>
      <c r="E324" s="10" t="s">
        <v>83</v>
      </c>
      <c r="F324" s="10" t="s">
        <v>83</v>
      </c>
      <c r="G324" s="10" t="s">
        <v>119</v>
      </c>
      <c r="H324" s="11" t="s">
        <v>83</v>
      </c>
      <c r="I324" s="102"/>
      <c r="J324" s="83"/>
      <c r="K324" s="84"/>
      <c r="L324" s="98">
        <f t="shared" ref="L324:Z325" si="132">L325</f>
        <v>0</v>
      </c>
      <c r="M324" s="98">
        <f t="shared" si="132"/>
        <v>0</v>
      </c>
      <c r="N324" s="40">
        <f t="shared" si="132"/>
        <v>0</v>
      </c>
      <c r="O324" s="98">
        <f t="shared" si="132"/>
        <v>0</v>
      </c>
      <c r="P324" s="98">
        <f t="shared" si="132"/>
        <v>0</v>
      </c>
      <c r="Q324" s="98">
        <f t="shared" si="132"/>
        <v>0</v>
      </c>
      <c r="R324" s="40">
        <f t="shared" si="132"/>
        <v>0</v>
      </c>
      <c r="S324" s="98">
        <f t="shared" si="132"/>
        <v>0</v>
      </c>
      <c r="T324" s="98">
        <f t="shared" si="132"/>
        <v>0</v>
      </c>
      <c r="U324" s="98">
        <f t="shared" si="132"/>
        <v>0</v>
      </c>
      <c r="V324" s="98">
        <f t="shared" si="132"/>
        <v>0</v>
      </c>
      <c r="W324" s="98">
        <f t="shared" si="132"/>
        <v>0</v>
      </c>
      <c r="X324" s="98">
        <f t="shared" si="132"/>
        <v>0</v>
      </c>
      <c r="Y324" s="98">
        <f t="shared" si="132"/>
        <v>0</v>
      </c>
      <c r="Z324" s="98">
        <f t="shared" si="132"/>
        <v>0</v>
      </c>
    </row>
    <row r="325" spans="1:26" ht="32.25" hidden="1" customHeight="1" x14ac:dyDescent="0.2">
      <c r="A325" s="193"/>
      <c r="B325" s="95" t="s">
        <v>126</v>
      </c>
      <c r="C325" s="34" t="s">
        <v>123</v>
      </c>
      <c r="D325" s="10" t="s">
        <v>83</v>
      </c>
      <c r="E325" s="10" t="s">
        <v>83</v>
      </c>
      <c r="F325" s="10" t="s">
        <v>83</v>
      </c>
      <c r="G325" s="10" t="s">
        <v>119</v>
      </c>
      <c r="H325" s="11" t="s">
        <v>83</v>
      </c>
      <c r="I325" s="102" t="s">
        <v>106</v>
      </c>
      <c r="J325" s="83"/>
      <c r="K325" s="84"/>
      <c r="L325" s="104">
        <f t="shared" si="132"/>
        <v>0</v>
      </c>
      <c r="M325" s="104">
        <f t="shared" si="132"/>
        <v>0</v>
      </c>
      <c r="N325" s="12">
        <f t="shared" si="132"/>
        <v>0</v>
      </c>
      <c r="O325" s="104">
        <f t="shared" si="132"/>
        <v>0</v>
      </c>
      <c r="P325" s="104">
        <f t="shared" si="132"/>
        <v>0</v>
      </c>
      <c r="Q325" s="104">
        <f t="shared" si="132"/>
        <v>0</v>
      </c>
      <c r="R325" s="12">
        <f t="shared" si="132"/>
        <v>0</v>
      </c>
      <c r="S325" s="104">
        <f t="shared" si="132"/>
        <v>0</v>
      </c>
      <c r="T325" s="104">
        <f t="shared" si="132"/>
        <v>0</v>
      </c>
      <c r="U325" s="104">
        <f t="shared" si="132"/>
        <v>0</v>
      </c>
      <c r="V325" s="104">
        <f t="shared" si="132"/>
        <v>0</v>
      </c>
      <c r="W325" s="104">
        <f t="shared" si="132"/>
        <v>0</v>
      </c>
      <c r="X325" s="104">
        <f t="shared" si="132"/>
        <v>0</v>
      </c>
      <c r="Y325" s="104">
        <f t="shared" si="132"/>
        <v>0</v>
      </c>
      <c r="Z325" s="104">
        <f t="shared" si="132"/>
        <v>0</v>
      </c>
    </row>
    <row r="326" spans="1:26" ht="32.25" hidden="1" customHeight="1" x14ac:dyDescent="0.2">
      <c r="A326" s="193"/>
      <c r="B326" s="147" t="s">
        <v>108</v>
      </c>
      <c r="C326" s="34" t="s">
        <v>123</v>
      </c>
      <c r="D326" s="10" t="s">
        <v>83</v>
      </c>
      <c r="E326" s="10" t="s">
        <v>83</v>
      </c>
      <c r="F326" s="10" t="s">
        <v>83</v>
      </c>
      <c r="G326" s="10" t="s">
        <v>119</v>
      </c>
      <c r="H326" s="11" t="s">
        <v>83</v>
      </c>
      <c r="I326" s="102" t="s">
        <v>107</v>
      </c>
      <c r="J326" s="83"/>
      <c r="K326" s="84"/>
      <c r="L326" s="104">
        <v>0</v>
      </c>
      <c r="M326" s="104">
        <v>0</v>
      </c>
      <c r="N326" s="12">
        <v>0</v>
      </c>
      <c r="O326" s="104">
        <v>0</v>
      </c>
      <c r="P326" s="104">
        <v>0</v>
      </c>
      <c r="Q326" s="104">
        <v>0</v>
      </c>
      <c r="R326" s="12">
        <v>0</v>
      </c>
      <c r="S326" s="104">
        <v>0</v>
      </c>
      <c r="T326" s="104">
        <v>0</v>
      </c>
      <c r="U326" s="104">
        <v>0</v>
      </c>
      <c r="V326" s="104">
        <v>0</v>
      </c>
      <c r="W326" s="104">
        <v>0</v>
      </c>
      <c r="X326" s="104">
        <v>0</v>
      </c>
      <c r="Y326" s="104">
        <v>0</v>
      </c>
      <c r="Z326" s="104">
        <v>0</v>
      </c>
    </row>
    <row r="327" spans="1:26" ht="21" customHeight="1" x14ac:dyDescent="0.2">
      <c r="A327" s="193"/>
      <c r="B327" s="100" t="s">
        <v>39</v>
      </c>
      <c r="C327" s="39" t="s">
        <v>123</v>
      </c>
      <c r="D327" s="16" t="s">
        <v>83</v>
      </c>
      <c r="E327" s="16" t="s">
        <v>83</v>
      </c>
      <c r="F327" s="16" t="s">
        <v>83</v>
      </c>
      <c r="G327" s="16" t="s">
        <v>18</v>
      </c>
      <c r="H327" s="11" t="s">
        <v>83</v>
      </c>
      <c r="I327" s="102"/>
      <c r="J327" s="40" t="e">
        <f>J328+J330+#REF!</f>
        <v>#REF!</v>
      </c>
      <c r="K327" s="97" t="e">
        <f>K328+K330+#REF!</f>
        <v>#REF!</v>
      </c>
      <c r="L327" s="98">
        <f t="shared" ref="L327:X327" si="133">L328+L330</f>
        <v>0</v>
      </c>
      <c r="M327" s="98">
        <f t="shared" si="133"/>
        <v>0</v>
      </c>
      <c r="N327" s="40">
        <f t="shared" si="133"/>
        <v>0</v>
      </c>
      <c r="O327" s="98">
        <f t="shared" si="133"/>
        <v>1363560.0899999999</v>
      </c>
      <c r="P327" s="98">
        <f t="shared" si="133"/>
        <v>0</v>
      </c>
      <c r="Q327" s="98">
        <f>Q328+Q330</f>
        <v>0</v>
      </c>
      <c r="R327" s="40">
        <f>R328+R330</f>
        <v>0</v>
      </c>
      <c r="S327" s="98">
        <f t="shared" si="133"/>
        <v>1363560.0899999999</v>
      </c>
      <c r="T327" s="98">
        <f t="shared" si="133"/>
        <v>1380060.0899999999</v>
      </c>
      <c r="U327" s="98">
        <f t="shared" si="133"/>
        <v>0</v>
      </c>
      <c r="V327" s="98">
        <f>V328+V330</f>
        <v>0</v>
      </c>
      <c r="W327" s="98">
        <f>W328+W330</f>
        <v>1363560.0899999999</v>
      </c>
      <c r="X327" s="98">
        <f t="shared" si="133"/>
        <v>1380060.0899999999</v>
      </c>
      <c r="Y327" s="98">
        <f>Y328+Y330</f>
        <v>0</v>
      </c>
      <c r="Z327" s="98">
        <f>Z328+Z330</f>
        <v>1380060.0899999999</v>
      </c>
    </row>
    <row r="328" spans="1:26" ht="57" customHeight="1" x14ac:dyDescent="0.2">
      <c r="A328" s="193"/>
      <c r="B328" s="100" t="s">
        <v>57</v>
      </c>
      <c r="C328" s="34" t="s">
        <v>123</v>
      </c>
      <c r="D328" s="10" t="s">
        <v>83</v>
      </c>
      <c r="E328" s="10" t="s">
        <v>83</v>
      </c>
      <c r="F328" s="10" t="s">
        <v>83</v>
      </c>
      <c r="G328" s="10" t="s">
        <v>18</v>
      </c>
      <c r="H328" s="11" t="s">
        <v>83</v>
      </c>
      <c r="I328" s="102" t="s">
        <v>50</v>
      </c>
      <c r="J328" s="40">
        <f t="shared" ref="J328:Z328" si="134">J329</f>
        <v>263500</v>
      </c>
      <c r="K328" s="97">
        <f t="shared" si="134"/>
        <v>0</v>
      </c>
      <c r="L328" s="104">
        <f t="shared" si="134"/>
        <v>0</v>
      </c>
      <c r="M328" s="104">
        <f t="shared" si="134"/>
        <v>0</v>
      </c>
      <c r="N328" s="12">
        <f t="shared" si="134"/>
        <v>0</v>
      </c>
      <c r="O328" s="104">
        <f t="shared" si="134"/>
        <v>390500</v>
      </c>
      <c r="P328" s="104">
        <f t="shared" si="134"/>
        <v>0</v>
      </c>
      <c r="Q328" s="104">
        <f t="shared" si="134"/>
        <v>0</v>
      </c>
      <c r="R328" s="12">
        <f t="shared" si="134"/>
        <v>0</v>
      </c>
      <c r="S328" s="104">
        <f t="shared" si="134"/>
        <v>390500</v>
      </c>
      <c r="T328" s="104">
        <f t="shared" si="134"/>
        <v>390500</v>
      </c>
      <c r="U328" s="104">
        <f t="shared" si="134"/>
        <v>0</v>
      </c>
      <c r="V328" s="104">
        <f t="shared" si="134"/>
        <v>0</v>
      </c>
      <c r="W328" s="104">
        <f t="shared" si="134"/>
        <v>390500</v>
      </c>
      <c r="X328" s="104">
        <f t="shared" si="134"/>
        <v>390500</v>
      </c>
      <c r="Y328" s="104">
        <f t="shared" si="134"/>
        <v>0</v>
      </c>
      <c r="Z328" s="104">
        <f t="shared" si="134"/>
        <v>390500</v>
      </c>
    </row>
    <row r="329" spans="1:26" ht="25.5" customHeight="1" x14ac:dyDescent="0.2">
      <c r="A329" s="193"/>
      <c r="B329" s="100" t="s">
        <v>51</v>
      </c>
      <c r="C329" s="34" t="s">
        <v>123</v>
      </c>
      <c r="D329" s="10" t="s">
        <v>83</v>
      </c>
      <c r="E329" s="10" t="s">
        <v>83</v>
      </c>
      <c r="F329" s="10" t="s">
        <v>83</v>
      </c>
      <c r="G329" s="10" t="s">
        <v>18</v>
      </c>
      <c r="H329" s="11" t="s">
        <v>83</v>
      </c>
      <c r="I329" s="102" t="s">
        <v>115</v>
      </c>
      <c r="J329" s="40">
        <v>263500</v>
      </c>
      <c r="K329" s="97">
        <v>0</v>
      </c>
      <c r="L329" s="105">
        <v>0</v>
      </c>
      <c r="M329" s="104">
        <v>0</v>
      </c>
      <c r="N329" s="12">
        <v>0</v>
      </c>
      <c r="O329" s="104">
        <f>346000+44500</f>
        <v>390500</v>
      </c>
      <c r="P329" s="104">
        <v>0</v>
      </c>
      <c r="Q329" s="104">
        <v>0</v>
      </c>
      <c r="R329" s="12">
        <v>0</v>
      </c>
      <c r="S329" s="104">
        <f>346000+44500</f>
        <v>390500</v>
      </c>
      <c r="T329" s="104">
        <f>346000+44500</f>
        <v>390500</v>
      </c>
      <c r="U329" s="104">
        <v>0</v>
      </c>
      <c r="V329" s="104">
        <v>0</v>
      </c>
      <c r="W329" s="104">
        <f>346000+44500</f>
        <v>390500</v>
      </c>
      <c r="X329" s="104">
        <f>346000+44500</f>
        <v>390500</v>
      </c>
      <c r="Y329" s="104">
        <v>0</v>
      </c>
      <c r="Z329" s="104">
        <f>346000+44500</f>
        <v>390500</v>
      </c>
    </row>
    <row r="330" spans="1:26" ht="33.75" customHeight="1" x14ac:dyDescent="0.2">
      <c r="A330" s="193"/>
      <c r="B330" s="100" t="s">
        <v>42</v>
      </c>
      <c r="C330" s="39" t="s">
        <v>123</v>
      </c>
      <c r="D330" s="16" t="s">
        <v>83</v>
      </c>
      <c r="E330" s="16" t="s">
        <v>83</v>
      </c>
      <c r="F330" s="16" t="s">
        <v>83</v>
      </c>
      <c r="G330" s="16" t="s">
        <v>18</v>
      </c>
      <c r="H330" s="11" t="s">
        <v>83</v>
      </c>
      <c r="I330" s="102" t="s">
        <v>43</v>
      </c>
      <c r="J330" s="40">
        <f t="shared" ref="J330:Z330" si="135">J331</f>
        <v>640872</v>
      </c>
      <c r="K330" s="97">
        <f t="shared" si="135"/>
        <v>0</v>
      </c>
      <c r="L330" s="104">
        <f t="shared" si="135"/>
        <v>0</v>
      </c>
      <c r="M330" s="104">
        <f t="shared" si="135"/>
        <v>0</v>
      </c>
      <c r="N330" s="12">
        <f t="shared" si="135"/>
        <v>0</v>
      </c>
      <c r="O330" s="104">
        <f t="shared" si="135"/>
        <v>973060.09</v>
      </c>
      <c r="P330" s="104">
        <f t="shared" si="135"/>
        <v>0</v>
      </c>
      <c r="Q330" s="104">
        <f t="shared" si="135"/>
        <v>0</v>
      </c>
      <c r="R330" s="12">
        <f t="shared" si="135"/>
        <v>0</v>
      </c>
      <c r="S330" s="104">
        <f t="shared" si="135"/>
        <v>973060.09</v>
      </c>
      <c r="T330" s="104">
        <f t="shared" si="135"/>
        <v>989560.09</v>
      </c>
      <c r="U330" s="104">
        <f t="shared" si="135"/>
        <v>0</v>
      </c>
      <c r="V330" s="104">
        <f t="shared" si="135"/>
        <v>0</v>
      </c>
      <c r="W330" s="104">
        <f t="shared" si="135"/>
        <v>973060.09</v>
      </c>
      <c r="X330" s="104">
        <f t="shared" si="135"/>
        <v>989560.09</v>
      </c>
      <c r="Y330" s="104">
        <f t="shared" si="135"/>
        <v>0</v>
      </c>
      <c r="Z330" s="104">
        <f t="shared" si="135"/>
        <v>989560.09</v>
      </c>
    </row>
    <row r="331" spans="1:26" ht="27" customHeight="1" x14ac:dyDescent="0.2">
      <c r="A331" s="193"/>
      <c r="B331" s="100" t="s">
        <v>44</v>
      </c>
      <c r="C331" s="39" t="s">
        <v>123</v>
      </c>
      <c r="D331" s="16" t="s">
        <v>83</v>
      </c>
      <c r="E331" s="16" t="s">
        <v>83</v>
      </c>
      <c r="F331" s="16" t="s">
        <v>83</v>
      </c>
      <c r="G331" s="16" t="s">
        <v>18</v>
      </c>
      <c r="H331" s="11" t="s">
        <v>83</v>
      </c>
      <c r="I331" s="102" t="s">
        <v>45</v>
      </c>
      <c r="J331" s="40">
        <v>640872</v>
      </c>
      <c r="K331" s="97">
        <v>0</v>
      </c>
      <c r="L331" s="104">
        <v>0</v>
      </c>
      <c r="M331" s="12">
        <v>0</v>
      </c>
      <c r="N331" s="103">
        <v>0</v>
      </c>
      <c r="O331" s="104">
        <f>809560.09+14000+149500</f>
        <v>973060.09</v>
      </c>
      <c r="P331" s="104">
        <v>0</v>
      </c>
      <c r="Q331" s="104">
        <v>0</v>
      </c>
      <c r="R331" s="12">
        <v>0</v>
      </c>
      <c r="S331" s="104">
        <f>809560.09+14000+149500</f>
        <v>973060.09</v>
      </c>
      <c r="T331" s="104">
        <f>820560.09+19500+149500</f>
        <v>989560.09</v>
      </c>
      <c r="U331" s="104">
        <v>0</v>
      </c>
      <c r="V331" s="104">
        <v>0</v>
      </c>
      <c r="W331" s="104">
        <f>809560.09+14000+149500</f>
        <v>973060.09</v>
      </c>
      <c r="X331" s="104">
        <f>820560.09+19500+149500</f>
        <v>989560.09</v>
      </c>
      <c r="Y331" s="104">
        <v>0</v>
      </c>
      <c r="Z331" s="104">
        <f>820560.09+19500+149500</f>
        <v>989560.09</v>
      </c>
    </row>
    <row r="332" spans="1:26" ht="49.5" customHeight="1" x14ac:dyDescent="0.2">
      <c r="A332" s="193"/>
      <c r="B332" s="282" t="s">
        <v>276</v>
      </c>
      <c r="C332" s="34" t="s">
        <v>123</v>
      </c>
      <c r="D332" s="10" t="s">
        <v>83</v>
      </c>
      <c r="E332" s="10" t="s">
        <v>83</v>
      </c>
      <c r="F332" s="10" t="s">
        <v>83</v>
      </c>
      <c r="G332" s="10" t="s">
        <v>142</v>
      </c>
      <c r="H332" s="11" t="s">
        <v>81</v>
      </c>
      <c r="I332" s="102"/>
      <c r="J332" s="12"/>
      <c r="K332" s="13"/>
      <c r="L332" s="104">
        <f>L333</f>
        <v>0</v>
      </c>
      <c r="M332" s="104">
        <f>M333</f>
        <v>184116316</v>
      </c>
      <c r="N332" s="104">
        <f t="shared" ref="N332:Z333" si="136">N333</f>
        <v>184116316</v>
      </c>
      <c r="O332" s="104">
        <f t="shared" si="136"/>
        <v>0</v>
      </c>
      <c r="P332" s="104">
        <f t="shared" si="136"/>
        <v>0</v>
      </c>
      <c r="Q332" s="104">
        <f t="shared" si="136"/>
        <v>0</v>
      </c>
      <c r="R332" s="105">
        <f t="shared" si="136"/>
        <v>184116316</v>
      </c>
      <c r="S332" s="104">
        <f t="shared" si="136"/>
        <v>0</v>
      </c>
      <c r="T332" s="104">
        <f t="shared" si="136"/>
        <v>0</v>
      </c>
      <c r="U332" s="104">
        <f t="shared" si="136"/>
        <v>0</v>
      </c>
      <c r="V332" s="104">
        <f t="shared" si="136"/>
        <v>0</v>
      </c>
      <c r="W332" s="104">
        <f t="shared" si="136"/>
        <v>0</v>
      </c>
      <c r="X332" s="104">
        <f t="shared" si="136"/>
        <v>0</v>
      </c>
      <c r="Y332" s="104">
        <f t="shared" si="136"/>
        <v>0</v>
      </c>
      <c r="Z332" s="104">
        <f t="shared" si="136"/>
        <v>0</v>
      </c>
    </row>
    <row r="333" spans="1:26" ht="27" customHeight="1" x14ac:dyDescent="0.2">
      <c r="A333" s="193"/>
      <c r="B333" s="251" t="s">
        <v>126</v>
      </c>
      <c r="C333" s="34" t="s">
        <v>123</v>
      </c>
      <c r="D333" s="10" t="s">
        <v>83</v>
      </c>
      <c r="E333" s="10" t="s">
        <v>83</v>
      </c>
      <c r="F333" s="10" t="s">
        <v>83</v>
      </c>
      <c r="G333" s="10" t="s">
        <v>142</v>
      </c>
      <c r="H333" s="11" t="s">
        <v>81</v>
      </c>
      <c r="I333" s="102" t="s">
        <v>106</v>
      </c>
      <c r="J333" s="12"/>
      <c r="K333" s="13"/>
      <c r="L333" s="104">
        <f>L334</f>
        <v>0</v>
      </c>
      <c r="M333" s="104">
        <f>M334</f>
        <v>184116316</v>
      </c>
      <c r="N333" s="104">
        <f t="shared" si="136"/>
        <v>184116316</v>
      </c>
      <c r="O333" s="104">
        <f t="shared" si="136"/>
        <v>0</v>
      </c>
      <c r="P333" s="104">
        <f t="shared" si="136"/>
        <v>0</v>
      </c>
      <c r="Q333" s="104">
        <f t="shared" si="136"/>
        <v>0</v>
      </c>
      <c r="R333" s="105">
        <f t="shared" si="136"/>
        <v>184116316</v>
      </c>
      <c r="S333" s="104">
        <f t="shared" si="136"/>
        <v>0</v>
      </c>
      <c r="T333" s="104">
        <f t="shared" si="136"/>
        <v>0</v>
      </c>
      <c r="U333" s="104">
        <f t="shared" si="136"/>
        <v>0</v>
      </c>
      <c r="V333" s="104">
        <f t="shared" si="136"/>
        <v>0</v>
      </c>
      <c r="W333" s="104">
        <f t="shared" si="136"/>
        <v>0</v>
      </c>
      <c r="X333" s="104">
        <f t="shared" si="136"/>
        <v>0</v>
      </c>
      <c r="Y333" s="104">
        <f t="shared" si="136"/>
        <v>0</v>
      </c>
      <c r="Z333" s="104">
        <f t="shared" si="136"/>
        <v>0</v>
      </c>
    </row>
    <row r="334" spans="1:26" ht="27" customHeight="1" x14ac:dyDescent="0.2">
      <c r="A334" s="193"/>
      <c r="B334" s="252" t="s">
        <v>108</v>
      </c>
      <c r="C334" s="34" t="s">
        <v>123</v>
      </c>
      <c r="D334" s="10" t="s">
        <v>83</v>
      </c>
      <c r="E334" s="10" t="s">
        <v>83</v>
      </c>
      <c r="F334" s="10" t="s">
        <v>83</v>
      </c>
      <c r="G334" s="10" t="s">
        <v>142</v>
      </c>
      <c r="H334" s="11" t="s">
        <v>81</v>
      </c>
      <c r="I334" s="102" t="s">
        <v>107</v>
      </c>
      <c r="J334" s="12"/>
      <c r="K334" s="13"/>
      <c r="L334" s="104">
        <v>0</v>
      </c>
      <c r="M334" s="104">
        <f>182281920+1834396</f>
        <v>184116316</v>
      </c>
      <c r="N334" s="104">
        <f>M334</f>
        <v>184116316</v>
      </c>
      <c r="O334" s="104">
        <v>0</v>
      </c>
      <c r="P334" s="104">
        <v>0</v>
      </c>
      <c r="Q334" s="104">
        <f>P334</f>
        <v>0</v>
      </c>
      <c r="R334" s="105">
        <v>184116316</v>
      </c>
      <c r="S334" s="104">
        <v>0</v>
      </c>
      <c r="T334" s="104">
        <v>0</v>
      </c>
      <c r="U334" s="104">
        <v>0</v>
      </c>
      <c r="V334" s="104">
        <v>0</v>
      </c>
      <c r="W334" s="104">
        <v>0</v>
      </c>
      <c r="X334" s="104">
        <v>0</v>
      </c>
      <c r="Y334" s="104">
        <v>0</v>
      </c>
      <c r="Z334" s="104">
        <v>0</v>
      </c>
    </row>
    <row r="335" spans="1:26" ht="27" customHeight="1" x14ac:dyDescent="0.2">
      <c r="A335" s="193"/>
      <c r="B335" s="282" t="s">
        <v>244</v>
      </c>
      <c r="C335" s="34" t="s">
        <v>123</v>
      </c>
      <c r="D335" s="10" t="s">
        <v>83</v>
      </c>
      <c r="E335" s="10" t="s">
        <v>83</v>
      </c>
      <c r="F335" s="10" t="s">
        <v>83</v>
      </c>
      <c r="G335" s="10" t="s">
        <v>274</v>
      </c>
      <c r="H335" s="11" t="s">
        <v>83</v>
      </c>
      <c r="I335" s="102"/>
      <c r="J335" s="12"/>
      <c r="K335" s="13"/>
      <c r="L335" s="104">
        <f>L340</f>
        <v>0</v>
      </c>
      <c r="M335" s="104">
        <f>M340</f>
        <v>184116316</v>
      </c>
      <c r="N335" s="104">
        <f>N340+N336+N338</f>
        <v>0</v>
      </c>
      <c r="O335" s="104">
        <f t="shared" ref="O335:Z335" si="137">O340+O336+O338</f>
        <v>0</v>
      </c>
      <c r="P335" s="104">
        <f t="shared" si="137"/>
        <v>0</v>
      </c>
      <c r="Q335" s="104">
        <f t="shared" si="137"/>
        <v>4858320</v>
      </c>
      <c r="R335" s="104">
        <f t="shared" si="137"/>
        <v>4858320</v>
      </c>
      <c r="S335" s="104">
        <f t="shared" si="137"/>
        <v>0</v>
      </c>
      <c r="T335" s="104">
        <f t="shared" si="137"/>
        <v>0</v>
      </c>
      <c r="U335" s="104">
        <f t="shared" si="137"/>
        <v>0</v>
      </c>
      <c r="V335" s="104">
        <f t="shared" si="137"/>
        <v>0</v>
      </c>
      <c r="W335" s="104">
        <f t="shared" si="137"/>
        <v>0</v>
      </c>
      <c r="X335" s="104">
        <f t="shared" si="137"/>
        <v>0</v>
      </c>
      <c r="Y335" s="104">
        <f t="shared" si="137"/>
        <v>0</v>
      </c>
      <c r="Z335" s="104">
        <f t="shared" si="137"/>
        <v>0</v>
      </c>
    </row>
    <row r="336" spans="1:26" ht="60.75" customHeight="1" x14ac:dyDescent="0.2">
      <c r="A336" s="193"/>
      <c r="B336" s="100" t="s">
        <v>57</v>
      </c>
      <c r="C336" s="34" t="s">
        <v>123</v>
      </c>
      <c r="D336" s="10" t="s">
        <v>83</v>
      </c>
      <c r="E336" s="10" t="s">
        <v>83</v>
      </c>
      <c r="F336" s="10" t="s">
        <v>83</v>
      </c>
      <c r="G336" s="10" t="s">
        <v>274</v>
      </c>
      <c r="H336" s="11" t="s">
        <v>83</v>
      </c>
      <c r="I336" s="102" t="s">
        <v>50</v>
      </c>
      <c r="J336" s="12"/>
      <c r="K336" s="13"/>
      <c r="L336" s="104"/>
      <c r="M336" s="104"/>
      <c r="N336" s="104">
        <f t="shared" ref="L336:Z340" si="138">N337</f>
        <v>0</v>
      </c>
      <c r="O336" s="104">
        <f t="shared" si="138"/>
        <v>0</v>
      </c>
      <c r="P336" s="104">
        <f t="shared" si="138"/>
        <v>0</v>
      </c>
      <c r="Q336" s="104">
        <f t="shared" si="138"/>
        <v>225000</v>
      </c>
      <c r="R336" s="104">
        <f t="shared" si="138"/>
        <v>225000</v>
      </c>
      <c r="S336" s="104">
        <f t="shared" si="138"/>
        <v>0</v>
      </c>
      <c r="T336" s="104">
        <f t="shared" si="138"/>
        <v>0</v>
      </c>
      <c r="U336" s="103">
        <f t="shared" si="138"/>
        <v>0</v>
      </c>
      <c r="V336" s="104">
        <f t="shared" si="138"/>
        <v>0</v>
      </c>
      <c r="W336" s="105">
        <f t="shared" si="138"/>
        <v>0</v>
      </c>
      <c r="X336" s="104">
        <f t="shared" si="138"/>
        <v>0</v>
      </c>
      <c r="Y336" s="104">
        <f t="shared" si="138"/>
        <v>0</v>
      </c>
      <c r="Z336" s="104">
        <f t="shared" si="138"/>
        <v>0</v>
      </c>
    </row>
    <row r="337" spans="1:26" ht="32.25" customHeight="1" x14ac:dyDescent="0.2">
      <c r="A337" s="193"/>
      <c r="B337" s="100" t="s">
        <v>51</v>
      </c>
      <c r="C337" s="34" t="s">
        <v>123</v>
      </c>
      <c r="D337" s="10" t="s">
        <v>83</v>
      </c>
      <c r="E337" s="10" t="s">
        <v>83</v>
      </c>
      <c r="F337" s="10" t="s">
        <v>83</v>
      </c>
      <c r="G337" s="10" t="s">
        <v>274</v>
      </c>
      <c r="H337" s="11" t="s">
        <v>83</v>
      </c>
      <c r="I337" s="102" t="s">
        <v>115</v>
      </c>
      <c r="J337" s="12"/>
      <c r="K337" s="13"/>
      <c r="L337" s="104"/>
      <c r="M337" s="104"/>
      <c r="N337" s="104">
        <v>0</v>
      </c>
      <c r="O337" s="104">
        <v>0</v>
      </c>
      <c r="P337" s="104">
        <v>0</v>
      </c>
      <c r="Q337" s="104">
        <v>225000</v>
      </c>
      <c r="R337" s="104">
        <f>Q337</f>
        <v>225000</v>
      </c>
      <c r="S337" s="104">
        <v>0</v>
      </c>
      <c r="T337" s="104">
        <v>0</v>
      </c>
      <c r="U337" s="103">
        <v>0</v>
      </c>
      <c r="V337" s="104">
        <v>0</v>
      </c>
      <c r="W337" s="105">
        <v>0</v>
      </c>
      <c r="X337" s="104">
        <v>0</v>
      </c>
      <c r="Y337" s="104">
        <v>0</v>
      </c>
      <c r="Z337" s="104">
        <v>0</v>
      </c>
    </row>
    <row r="338" spans="1:26" ht="27" customHeight="1" x14ac:dyDescent="0.2">
      <c r="A338" s="193"/>
      <c r="B338" s="100" t="s">
        <v>42</v>
      </c>
      <c r="C338" s="34" t="s">
        <v>123</v>
      </c>
      <c r="D338" s="10" t="s">
        <v>83</v>
      </c>
      <c r="E338" s="10" t="s">
        <v>83</v>
      </c>
      <c r="F338" s="10" t="s">
        <v>83</v>
      </c>
      <c r="G338" s="10" t="s">
        <v>274</v>
      </c>
      <c r="H338" s="11" t="s">
        <v>83</v>
      </c>
      <c r="I338" s="102" t="s">
        <v>43</v>
      </c>
      <c r="J338" s="12"/>
      <c r="K338" s="13"/>
      <c r="L338" s="104"/>
      <c r="M338" s="104"/>
      <c r="N338" s="104">
        <f t="shared" si="138"/>
        <v>0</v>
      </c>
      <c r="O338" s="104">
        <f t="shared" si="138"/>
        <v>0</v>
      </c>
      <c r="P338" s="104">
        <f t="shared" si="138"/>
        <v>0</v>
      </c>
      <c r="Q338" s="104">
        <f t="shared" si="138"/>
        <v>325000</v>
      </c>
      <c r="R338" s="104">
        <f t="shared" si="138"/>
        <v>325000</v>
      </c>
      <c r="S338" s="104">
        <f t="shared" si="138"/>
        <v>0</v>
      </c>
      <c r="T338" s="104">
        <f t="shared" si="138"/>
        <v>0</v>
      </c>
      <c r="U338" s="103">
        <f t="shared" si="138"/>
        <v>0</v>
      </c>
      <c r="V338" s="104">
        <f t="shared" si="138"/>
        <v>0</v>
      </c>
      <c r="W338" s="105">
        <f t="shared" si="138"/>
        <v>0</v>
      </c>
      <c r="X338" s="104">
        <f t="shared" si="138"/>
        <v>0</v>
      </c>
      <c r="Y338" s="104">
        <f t="shared" si="138"/>
        <v>0</v>
      </c>
      <c r="Z338" s="104">
        <f t="shared" si="138"/>
        <v>0</v>
      </c>
    </row>
    <row r="339" spans="1:26" ht="27" customHeight="1" x14ac:dyDescent="0.2">
      <c r="A339" s="193"/>
      <c r="B339" s="100" t="s">
        <v>44</v>
      </c>
      <c r="C339" s="34" t="s">
        <v>123</v>
      </c>
      <c r="D339" s="10" t="s">
        <v>83</v>
      </c>
      <c r="E339" s="10" t="s">
        <v>83</v>
      </c>
      <c r="F339" s="10" t="s">
        <v>83</v>
      </c>
      <c r="G339" s="10" t="s">
        <v>274</v>
      </c>
      <c r="H339" s="11" t="s">
        <v>83</v>
      </c>
      <c r="I339" s="102" t="s">
        <v>45</v>
      </c>
      <c r="J339" s="12"/>
      <c r="K339" s="13"/>
      <c r="L339" s="104"/>
      <c r="M339" s="104"/>
      <c r="N339" s="104">
        <v>0</v>
      </c>
      <c r="O339" s="104">
        <v>0</v>
      </c>
      <c r="P339" s="104">
        <v>0</v>
      </c>
      <c r="Q339" s="104">
        <v>325000</v>
      </c>
      <c r="R339" s="104">
        <f>Q339</f>
        <v>325000</v>
      </c>
      <c r="S339" s="104">
        <v>0</v>
      </c>
      <c r="T339" s="104">
        <v>0</v>
      </c>
      <c r="U339" s="103">
        <v>0</v>
      </c>
      <c r="V339" s="104">
        <v>0</v>
      </c>
      <c r="W339" s="105">
        <v>0</v>
      </c>
      <c r="X339" s="104">
        <v>0</v>
      </c>
      <c r="Y339" s="104">
        <v>0</v>
      </c>
      <c r="Z339" s="104">
        <v>0</v>
      </c>
    </row>
    <row r="340" spans="1:26" ht="27" customHeight="1" x14ac:dyDescent="0.2">
      <c r="A340" s="193"/>
      <c r="B340" s="251" t="s">
        <v>126</v>
      </c>
      <c r="C340" s="34" t="s">
        <v>123</v>
      </c>
      <c r="D340" s="10" t="s">
        <v>83</v>
      </c>
      <c r="E340" s="10" t="s">
        <v>83</v>
      </c>
      <c r="F340" s="10" t="s">
        <v>83</v>
      </c>
      <c r="G340" s="10" t="s">
        <v>274</v>
      </c>
      <c r="H340" s="11" t="s">
        <v>83</v>
      </c>
      <c r="I340" s="102" t="s">
        <v>106</v>
      </c>
      <c r="J340" s="12"/>
      <c r="K340" s="13"/>
      <c r="L340" s="104">
        <f t="shared" si="138"/>
        <v>0</v>
      </c>
      <c r="M340" s="104">
        <f t="shared" si="138"/>
        <v>184116316</v>
      </c>
      <c r="N340" s="104">
        <f t="shared" si="138"/>
        <v>0</v>
      </c>
      <c r="O340" s="104">
        <f t="shared" si="138"/>
        <v>0</v>
      </c>
      <c r="P340" s="104">
        <f t="shared" si="138"/>
        <v>0</v>
      </c>
      <c r="Q340" s="104">
        <f t="shared" si="138"/>
        <v>4308320</v>
      </c>
      <c r="R340" s="104">
        <f t="shared" si="138"/>
        <v>4308320</v>
      </c>
      <c r="S340" s="104">
        <f t="shared" si="138"/>
        <v>0</v>
      </c>
      <c r="T340" s="104">
        <f t="shared" si="138"/>
        <v>0</v>
      </c>
      <c r="U340" s="103">
        <f t="shared" si="138"/>
        <v>0</v>
      </c>
      <c r="V340" s="104">
        <f t="shared" si="138"/>
        <v>0</v>
      </c>
      <c r="W340" s="105">
        <f t="shared" si="138"/>
        <v>0</v>
      </c>
      <c r="X340" s="104">
        <f t="shared" si="138"/>
        <v>0</v>
      </c>
      <c r="Y340" s="104">
        <f t="shared" si="138"/>
        <v>0</v>
      </c>
      <c r="Z340" s="104">
        <f t="shared" si="138"/>
        <v>0</v>
      </c>
    </row>
    <row r="341" spans="1:26" ht="27" customHeight="1" x14ac:dyDescent="0.2">
      <c r="A341" s="193"/>
      <c r="B341" s="252" t="s">
        <v>108</v>
      </c>
      <c r="C341" s="34" t="s">
        <v>123</v>
      </c>
      <c r="D341" s="10" t="s">
        <v>83</v>
      </c>
      <c r="E341" s="10" t="s">
        <v>83</v>
      </c>
      <c r="F341" s="10" t="s">
        <v>83</v>
      </c>
      <c r="G341" s="10" t="s">
        <v>274</v>
      </c>
      <c r="H341" s="11" t="s">
        <v>83</v>
      </c>
      <c r="I341" s="102" t="s">
        <v>107</v>
      </c>
      <c r="J341" s="12"/>
      <c r="K341" s="13"/>
      <c r="L341" s="104">
        <v>0</v>
      </c>
      <c r="M341" s="104">
        <f>182281920+1834396</f>
        <v>184116316</v>
      </c>
      <c r="N341" s="104">
        <v>0</v>
      </c>
      <c r="O341" s="104">
        <v>0</v>
      </c>
      <c r="P341" s="104">
        <v>0</v>
      </c>
      <c r="Q341" s="104">
        <v>4308320</v>
      </c>
      <c r="R341" s="104">
        <f>Q341</f>
        <v>4308320</v>
      </c>
      <c r="S341" s="104">
        <v>0</v>
      </c>
      <c r="T341" s="104">
        <v>0</v>
      </c>
      <c r="U341" s="103">
        <v>0</v>
      </c>
      <c r="V341" s="104">
        <v>0</v>
      </c>
      <c r="W341" s="105">
        <v>0</v>
      </c>
      <c r="X341" s="104">
        <v>0</v>
      </c>
      <c r="Y341" s="104">
        <v>0</v>
      </c>
      <c r="Z341" s="104">
        <v>0</v>
      </c>
    </row>
    <row r="342" spans="1:26" ht="15" customHeight="1" x14ac:dyDescent="0.2">
      <c r="A342" s="193"/>
      <c r="B342" s="169"/>
      <c r="C342" s="34"/>
      <c r="D342" s="10"/>
      <c r="E342" s="10"/>
      <c r="F342" s="10"/>
      <c r="G342" s="10"/>
      <c r="H342" s="11"/>
      <c r="I342" s="196"/>
      <c r="J342" s="40"/>
      <c r="K342" s="97"/>
      <c r="L342" s="154"/>
      <c r="M342" s="177"/>
      <c r="N342" s="153"/>
      <c r="O342" s="154"/>
      <c r="P342" s="154"/>
      <c r="Q342" s="154"/>
      <c r="R342" s="177"/>
      <c r="S342" s="154"/>
      <c r="T342" s="154"/>
      <c r="U342" s="154"/>
      <c r="V342" s="154"/>
      <c r="W342" s="154"/>
      <c r="X342" s="154"/>
      <c r="Y342" s="154"/>
      <c r="Z342" s="154"/>
    </row>
    <row r="343" spans="1:26" ht="51.75" customHeight="1" x14ac:dyDescent="0.25">
      <c r="A343" s="193"/>
      <c r="B343" s="283" t="s">
        <v>271</v>
      </c>
      <c r="C343" s="197" t="s">
        <v>129</v>
      </c>
      <c r="D343" s="142" t="s">
        <v>83</v>
      </c>
      <c r="E343" s="142" t="s">
        <v>83</v>
      </c>
      <c r="F343" s="142" t="s">
        <v>83</v>
      </c>
      <c r="G343" s="142" t="s">
        <v>84</v>
      </c>
      <c r="H343" s="129" t="s">
        <v>83</v>
      </c>
      <c r="I343" s="229"/>
      <c r="J343" s="143" t="e">
        <f>#REF!+J344+#REF!</f>
        <v>#REF!</v>
      </c>
      <c r="K343" s="144" t="e">
        <f>#REF!+K344+#REF!</f>
        <v>#REF!</v>
      </c>
      <c r="L343" s="144">
        <f t="shared" ref="L343:X343" si="139">L344+L352+L349</f>
        <v>5336879.57</v>
      </c>
      <c r="M343" s="144">
        <f t="shared" si="139"/>
        <v>0</v>
      </c>
      <c r="N343" s="144">
        <f t="shared" si="139"/>
        <v>5336879.57</v>
      </c>
      <c r="O343" s="145">
        <f t="shared" si="139"/>
        <v>3850212.0200000005</v>
      </c>
      <c r="P343" s="145">
        <f t="shared" si="139"/>
        <v>0</v>
      </c>
      <c r="Q343" s="144">
        <f>Q344+Q352+Q349</f>
        <v>0</v>
      </c>
      <c r="R343" s="144">
        <f>R344+R352+R349</f>
        <v>5336879.57</v>
      </c>
      <c r="S343" s="145">
        <f t="shared" si="139"/>
        <v>3850212.0200000005</v>
      </c>
      <c r="T343" s="145">
        <f t="shared" si="139"/>
        <v>3850212.0200000005</v>
      </c>
      <c r="U343" s="145">
        <f t="shared" si="139"/>
        <v>0</v>
      </c>
      <c r="V343" s="145">
        <f>V344+V352+V349</f>
        <v>0</v>
      </c>
      <c r="W343" s="145">
        <f>W344+W352+W349</f>
        <v>3850212.0200000005</v>
      </c>
      <c r="X343" s="145">
        <f t="shared" si="139"/>
        <v>3850212.0200000005</v>
      </c>
      <c r="Y343" s="145">
        <f>Y344+Y352+Y349</f>
        <v>0</v>
      </c>
      <c r="Z343" s="145">
        <f>Z344+Z352+Z349</f>
        <v>3850212.0200000005</v>
      </c>
    </row>
    <row r="344" spans="1:26" ht="29.25" customHeight="1" x14ac:dyDescent="0.2">
      <c r="A344" s="193"/>
      <c r="B344" s="147" t="s">
        <v>130</v>
      </c>
      <c r="C344" s="20" t="s">
        <v>129</v>
      </c>
      <c r="D344" s="21" t="s">
        <v>83</v>
      </c>
      <c r="E344" s="10" t="s">
        <v>83</v>
      </c>
      <c r="F344" s="10" t="s">
        <v>83</v>
      </c>
      <c r="G344" s="21" t="s">
        <v>114</v>
      </c>
      <c r="H344" s="10" t="s">
        <v>83</v>
      </c>
      <c r="I344" s="149"/>
      <c r="J344" s="40">
        <f>J347</f>
        <v>2073576.66</v>
      </c>
      <c r="K344" s="97">
        <f>K347</f>
        <v>0</v>
      </c>
      <c r="L344" s="97">
        <f t="shared" ref="L344:X344" si="140">L347+L345</f>
        <v>2073600</v>
      </c>
      <c r="M344" s="97">
        <f t="shared" si="140"/>
        <v>0</v>
      </c>
      <c r="N344" s="97">
        <f t="shared" si="140"/>
        <v>2073600</v>
      </c>
      <c r="O344" s="98">
        <f t="shared" si="140"/>
        <v>1057147.5</v>
      </c>
      <c r="P344" s="98">
        <f t="shared" si="140"/>
        <v>0</v>
      </c>
      <c r="Q344" s="97">
        <f>Q347+Q345</f>
        <v>0</v>
      </c>
      <c r="R344" s="97">
        <f>R347+R345</f>
        <v>2073600</v>
      </c>
      <c r="S344" s="98">
        <f t="shared" si="140"/>
        <v>1057147.5</v>
      </c>
      <c r="T344" s="98">
        <f t="shared" si="140"/>
        <v>1057147.5</v>
      </c>
      <c r="U344" s="98">
        <f t="shared" si="140"/>
        <v>0</v>
      </c>
      <c r="V344" s="98">
        <f>V347+V345</f>
        <v>0</v>
      </c>
      <c r="W344" s="98">
        <f>W347+W345</f>
        <v>1057147.5</v>
      </c>
      <c r="X344" s="98">
        <f t="shared" si="140"/>
        <v>1057147.5</v>
      </c>
      <c r="Y344" s="98">
        <f>Y347+Y345</f>
        <v>0</v>
      </c>
      <c r="Z344" s="98">
        <f>Z347+Z345</f>
        <v>1057147.5</v>
      </c>
    </row>
    <row r="345" spans="1:26" ht="38.25" customHeight="1" x14ac:dyDescent="0.2">
      <c r="A345" s="193"/>
      <c r="B345" s="147" t="s">
        <v>21</v>
      </c>
      <c r="C345" s="20" t="s">
        <v>129</v>
      </c>
      <c r="D345" s="21" t="s">
        <v>83</v>
      </c>
      <c r="E345" s="10" t="s">
        <v>83</v>
      </c>
      <c r="F345" s="10" t="s">
        <v>83</v>
      </c>
      <c r="G345" s="21" t="s">
        <v>114</v>
      </c>
      <c r="H345" s="10" t="s">
        <v>83</v>
      </c>
      <c r="I345" s="149" t="s">
        <v>96</v>
      </c>
      <c r="J345" s="40"/>
      <c r="K345" s="97"/>
      <c r="L345" s="112">
        <f t="shared" ref="L345:Z345" si="141">L346</f>
        <v>808704</v>
      </c>
      <c r="M345" s="112">
        <f t="shared" si="141"/>
        <v>0</v>
      </c>
      <c r="N345" s="112">
        <f t="shared" si="141"/>
        <v>808704</v>
      </c>
      <c r="O345" s="112">
        <f t="shared" si="141"/>
        <v>412287.53</v>
      </c>
      <c r="P345" s="112">
        <f t="shared" si="141"/>
        <v>0</v>
      </c>
      <c r="Q345" s="112">
        <f t="shared" si="141"/>
        <v>0</v>
      </c>
      <c r="R345" s="112">
        <f t="shared" si="141"/>
        <v>808704</v>
      </c>
      <c r="S345" s="112">
        <f t="shared" si="141"/>
        <v>412287.53</v>
      </c>
      <c r="T345" s="112">
        <f t="shared" si="141"/>
        <v>412287.53</v>
      </c>
      <c r="U345" s="112">
        <f t="shared" si="141"/>
        <v>0</v>
      </c>
      <c r="V345" s="112">
        <f t="shared" si="141"/>
        <v>0</v>
      </c>
      <c r="W345" s="112">
        <f t="shared" si="141"/>
        <v>412287.53</v>
      </c>
      <c r="X345" s="112">
        <f t="shared" si="141"/>
        <v>412287.53</v>
      </c>
      <c r="Y345" s="112">
        <f t="shared" si="141"/>
        <v>0</v>
      </c>
      <c r="Z345" s="112">
        <f t="shared" si="141"/>
        <v>412287.53</v>
      </c>
    </row>
    <row r="346" spans="1:26" ht="48" customHeight="1" x14ac:dyDescent="0.2">
      <c r="A346" s="193"/>
      <c r="B346" s="147" t="s">
        <v>141</v>
      </c>
      <c r="C346" s="20" t="s">
        <v>129</v>
      </c>
      <c r="D346" s="21" t="s">
        <v>83</v>
      </c>
      <c r="E346" s="10" t="s">
        <v>83</v>
      </c>
      <c r="F346" s="10" t="s">
        <v>83</v>
      </c>
      <c r="G346" s="21" t="s">
        <v>114</v>
      </c>
      <c r="H346" s="10" t="s">
        <v>83</v>
      </c>
      <c r="I346" s="149" t="s">
        <v>102</v>
      </c>
      <c r="J346" s="40"/>
      <c r="K346" s="97"/>
      <c r="L346" s="112">
        <v>808704</v>
      </c>
      <c r="M346" s="112">
        <v>0</v>
      </c>
      <c r="N346" s="112">
        <v>808704</v>
      </c>
      <c r="O346" s="112">
        <v>412287.53</v>
      </c>
      <c r="P346" s="112">
        <v>0</v>
      </c>
      <c r="Q346" s="112">
        <v>0</v>
      </c>
      <c r="R346" s="112">
        <v>808704</v>
      </c>
      <c r="S346" s="112">
        <v>412287.53</v>
      </c>
      <c r="T346" s="112">
        <v>412287.53</v>
      </c>
      <c r="U346" s="112">
        <v>0</v>
      </c>
      <c r="V346" s="112">
        <v>0</v>
      </c>
      <c r="W346" s="112">
        <v>412287.53</v>
      </c>
      <c r="X346" s="112">
        <v>412287.53</v>
      </c>
      <c r="Y346" s="112">
        <v>0</v>
      </c>
      <c r="Z346" s="112">
        <v>412287.53</v>
      </c>
    </row>
    <row r="347" spans="1:26" ht="16.5" customHeight="1" x14ac:dyDescent="0.2">
      <c r="A347" s="193"/>
      <c r="B347" s="100" t="s">
        <v>52</v>
      </c>
      <c r="C347" s="20" t="s">
        <v>129</v>
      </c>
      <c r="D347" s="21" t="s">
        <v>83</v>
      </c>
      <c r="E347" s="10" t="s">
        <v>83</v>
      </c>
      <c r="F347" s="10" t="s">
        <v>83</v>
      </c>
      <c r="G347" s="21" t="s">
        <v>114</v>
      </c>
      <c r="H347" s="10" t="s">
        <v>83</v>
      </c>
      <c r="I347" s="149" t="s">
        <v>53</v>
      </c>
      <c r="J347" s="40">
        <f t="shared" ref="J347:Z347" si="142">J348</f>
        <v>2073576.66</v>
      </c>
      <c r="K347" s="97">
        <f t="shared" si="142"/>
        <v>0</v>
      </c>
      <c r="L347" s="112">
        <f t="shared" si="142"/>
        <v>1264896</v>
      </c>
      <c r="M347" s="112">
        <f t="shared" si="142"/>
        <v>0</v>
      </c>
      <c r="N347" s="112">
        <f t="shared" si="142"/>
        <v>1264896</v>
      </c>
      <c r="O347" s="112">
        <f t="shared" si="142"/>
        <v>644859.97</v>
      </c>
      <c r="P347" s="112">
        <f t="shared" si="142"/>
        <v>0</v>
      </c>
      <c r="Q347" s="112">
        <f t="shared" si="142"/>
        <v>0</v>
      </c>
      <c r="R347" s="112">
        <f t="shared" si="142"/>
        <v>1264896</v>
      </c>
      <c r="S347" s="112">
        <f t="shared" si="142"/>
        <v>644859.97</v>
      </c>
      <c r="T347" s="112">
        <f t="shared" si="142"/>
        <v>644859.97</v>
      </c>
      <c r="U347" s="112">
        <f t="shared" si="142"/>
        <v>0</v>
      </c>
      <c r="V347" s="112">
        <f t="shared" si="142"/>
        <v>0</v>
      </c>
      <c r="W347" s="112">
        <f t="shared" si="142"/>
        <v>644859.97</v>
      </c>
      <c r="X347" s="112">
        <f t="shared" si="142"/>
        <v>644859.97</v>
      </c>
      <c r="Y347" s="112">
        <f t="shared" si="142"/>
        <v>0</v>
      </c>
      <c r="Z347" s="112">
        <f t="shared" si="142"/>
        <v>644859.97</v>
      </c>
    </row>
    <row r="348" spans="1:26" ht="45" customHeight="1" x14ac:dyDescent="0.2">
      <c r="A348" s="193"/>
      <c r="B348" s="100" t="s">
        <v>113</v>
      </c>
      <c r="C348" s="20" t="s">
        <v>129</v>
      </c>
      <c r="D348" s="21" t="s">
        <v>83</v>
      </c>
      <c r="E348" s="10" t="s">
        <v>83</v>
      </c>
      <c r="F348" s="10" t="s">
        <v>83</v>
      </c>
      <c r="G348" s="21" t="s">
        <v>114</v>
      </c>
      <c r="H348" s="10" t="s">
        <v>83</v>
      </c>
      <c r="I348" s="149" t="s">
        <v>88</v>
      </c>
      <c r="J348" s="40">
        <v>2073576.66</v>
      </c>
      <c r="K348" s="40">
        <v>0</v>
      </c>
      <c r="L348" s="112">
        <v>1264896</v>
      </c>
      <c r="M348" s="112">
        <v>0</v>
      </c>
      <c r="N348" s="112">
        <v>1264896</v>
      </c>
      <c r="O348" s="112">
        <v>644859.97</v>
      </c>
      <c r="P348" s="112">
        <v>0</v>
      </c>
      <c r="Q348" s="112">
        <v>0</v>
      </c>
      <c r="R348" s="112">
        <v>1264896</v>
      </c>
      <c r="S348" s="112">
        <v>644859.97</v>
      </c>
      <c r="T348" s="113">
        <v>644859.97</v>
      </c>
      <c r="U348" s="113">
        <v>0</v>
      </c>
      <c r="V348" s="112">
        <v>0</v>
      </c>
      <c r="W348" s="112">
        <v>644859.97</v>
      </c>
      <c r="X348" s="113">
        <v>644859.97</v>
      </c>
      <c r="Y348" s="113">
        <v>0</v>
      </c>
      <c r="Z348" s="113">
        <v>644859.97</v>
      </c>
    </row>
    <row r="349" spans="1:26" ht="45" customHeight="1" x14ac:dyDescent="0.2">
      <c r="A349" s="16"/>
      <c r="B349" s="100" t="s">
        <v>192</v>
      </c>
      <c r="C349" s="39" t="s">
        <v>129</v>
      </c>
      <c r="D349" s="16" t="s">
        <v>83</v>
      </c>
      <c r="E349" s="16" t="s">
        <v>83</v>
      </c>
      <c r="F349" s="16" t="s">
        <v>83</v>
      </c>
      <c r="G349" s="16" t="s">
        <v>191</v>
      </c>
      <c r="H349" s="10" t="s">
        <v>83</v>
      </c>
      <c r="I349" s="102"/>
      <c r="J349" s="40">
        <f t="shared" ref="J349:Y350" si="143">J350</f>
        <v>35000</v>
      </c>
      <c r="K349" s="97">
        <f t="shared" si="143"/>
        <v>0</v>
      </c>
      <c r="L349" s="97">
        <f t="shared" si="143"/>
        <v>35000</v>
      </c>
      <c r="M349" s="97">
        <f t="shared" si="143"/>
        <v>0</v>
      </c>
      <c r="N349" s="97">
        <f t="shared" si="143"/>
        <v>35000</v>
      </c>
      <c r="O349" s="98">
        <f t="shared" si="143"/>
        <v>35000</v>
      </c>
      <c r="P349" s="98">
        <f t="shared" si="143"/>
        <v>0</v>
      </c>
      <c r="Q349" s="97">
        <f t="shared" si="143"/>
        <v>0</v>
      </c>
      <c r="R349" s="97">
        <f t="shared" si="143"/>
        <v>35000</v>
      </c>
      <c r="S349" s="98">
        <f t="shared" si="143"/>
        <v>35000</v>
      </c>
      <c r="T349" s="99">
        <f t="shared" si="143"/>
        <v>35000</v>
      </c>
      <c r="U349" s="99">
        <f t="shared" si="143"/>
        <v>0</v>
      </c>
      <c r="V349" s="98">
        <f t="shared" si="143"/>
        <v>0</v>
      </c>
      <c r="W349" s="98">
        <f t="shared" si="143"/>
        <v>35000</v>
      </c>
      <c r="X349" s="99">
        <f t="shared" si="143"/>
        <v>35000</v>
      </c>
      <c r="Y349" s="99">
        <f t="shared" si="143"/>
        <v>0</v>
      </c>
      <c r="Z349" s="99">
        <f>Z350</f>
        <v>35000</v>
      </c>
    </row>
    <row r="350" spans="1:26" ht="36" customHeight="1" x14ac:dyDescent="0.2">
      <c r="A350" s="16"/>
      <c r="B350" s="100" t="s">
        <v>42</v>
      </c>
      <c r="C350" s="34" t="s">
        <v>129</v>
      </c>
      <c r="D350" s="10" t="s">
        <v>83</v>
      </c>
      <c r="E350" s="10" t="s">
        <v>83</v>
      </c>
      <c r="F350" s="10" t="s">
        <v>83</v>
      </c>
      <c r="G350" s="16" t="s">
        <v>191</v>
      </c>
      <c r="H350" s="10" t="s">
        <v>83</v>
      </c>
      <c r="I350" s="102">
        <v>200</v>
      </c>
      <c r="J350" s="40">
        <f t="shared" si="143"/>
        <v>35000</v>
      </c>
      <c r="K350" s="97">
        <f t="shared" si="143"/>
        <v>0</v>
      </c>
      <c r="L350" s="97">
        <f t="shared" si="143"/>
        <v>35000</v>
      </c>
      <c r="M350" s="97">
        <f t="shared" si="143"/>
        <v>0</v>
      </c>
      <c r="N350" s="97">
        <f t="shared" si="143"/>
        <v>35000</v>
      </c>
      <c r="O350" s="98">
        <f t="shared" si="143"/>
        <v>35000</v>
      </c>
      <c r="P350" s="98">
        <f t="shared" si="143"/>
        <v>0</v>
      </c>
      <c r="Q350" s="97">
        <f t="shared" si="143"/>
        <v>0</v>
      </c>
      <c r="R350" s="97">
        <f t="shared" si="143"/>
        <v>35000</v>
      </c>
      <c r="S350" s="98">
        <f t="shared" si="143"/>
        <v>35000</v>
      </c>
      <c r="T350" s="99">
        <f t="shared" si="143"/>
        <v>35000</v>
      </c>
      <c r="U350" s="99">
        <f t="shared" si="143"/>
        <v>0</v>
      </c>
      <c r="V350" s="98">
        <f t="shared" si="143"/>
        <v>0</v>
      </c>
      <c r="W350" s="98">
        <f t="shared" si="143"/>
        <v>35000</v>
      </c>
      <c r="X350" s="99">
        <f t="shared" si="143"/>
        <v>35000</v>
      </c>
      <c r="Y350" s="99">
        <f>Y351</f>
        <v>0</v>
      </c>
      <c r="Z350" s="99">
        <f>Z351</f>
        <v>35000</v>
      </c>
    </row>
    <row r="351" spans="1:26" ht="33.75" customHeight="1" x14ac:dyDescent="0.2">
      <c r="A351" s="16"/>
      <c r="B351" s="100" t="s">
        <v>44</v>
      </c>
      <c r="C351" s="34" t="s">
        <v>129</v>
      </c>
      <c r="D351" s="10" t="s">
        <v>83</v>
      </c>
      <c r="E351" s="10" t="s">
        <v>83</v>
      </c>
      <c r="F351" s="10" t="s">
        <v>83</v>
      </c>
      <c r="G351" s="16" t="s">
        <v>191</v>
      </c>
      <c r="H351" s="10" t="s">
        <v>83</v>
      </c>
      <c r="I351" s="102">
        <v>240</v>
      </c>
      <c r="J351" s="40">
        <v>35000</v>
      </c>
      <c r="K351" s="97">
        <v>0</v>
      </c>
      <c r="L351" s="97">
        <v>35000</v>
      </c>
      <c r="M351" s="97">
        <v>0</v>
      </c>
      <c r="N351" s="97">
        <v>35000</v>
      </c>
      <c r="O351" s="98">
        <v>35000</v>
      </c>
      <c r="P351" s="98">
        <v>0</v>
      </c>
      <c r="Q351" s="97">
        <v>0</v>
      </c>
      <c r="R351" s="97">
        <v>35000</v>
      </c>
      <c r="S351" s="98">
        <v>35000</v>
      </c>
      <c r="T351" s="99">
        <v>35000</v>
      </c>
      <c r="U351" s="99">
        <v>0</v>
      </c>
      <c r="V351" s="98">
        <v>0</v>
      </c>
      <c r="W351" s="98">
        <v>35000</v>
      </c>
      <c r="X351" s="99">
        <v>35000</v>
      </c>
      <c r="Y351" s="99">
        <v>0</v>
      </c>
      <c r="Z351" s="99">
        <v>35000</v>
      </c>
    </row>
    <row r="352" spans="1:26" ht="63" customHeight="1" x14ac:dyDescent="0.2">
      <c r="A352" s="16"/>
      <c r="B352" s="147" t="s">
        <v>198</v>
      </c>
      <c r="C352" s="39" t="s">
        <v>129</v>
      </c>
      <c r="D352" s="16" t="s">
        <v>83</v>
      </c>
      <c r="E352" s="16" t="s">
        <v>83</v>
      </c>
      <c r="F352" s="16" t="s">
        <v>83</v>
      </c>
      <c r="G352" s="189" t="s">
        <v>177</v>
      </c>
      <c r="H352" s="10" t="s">
        <v>83</v>
      </c>
      <c r="I352" s="192"/>
      <c r="J352" s="40">
        <f>J355</f>
        <v>605700</v>
      </c>
      <c r="K352" s="97">
        <f>K355</f>
        <v>0</v>
      </c>
      <c r="L352" s="137">
        <f t="shared" ref="L352:X352" si="144">L353+L355</f>
        <v>3228279.5700000003</v>
      </c>
      <c r="M352" s="137">
        <f t="shared" si="144"/>
        <v>0</v>
      </c>
      <c r="N352" s="137">
        <f t="shared" si="144"/>
        <v>3228279.5700000003</v>
      </c>
      <c r="O352" s="137">
        <f t="shared" si="144"/>
        <v>2758064.5200000005</v>
      </c>
      <c r="P352" s="137">
        <f t="shared" si="144"/>
        <v>0</v>
      </c>
      <c r="Q352" s="137">
        <f>Q353+Q355</f>
        <v>0</v>
      </c>
      <c r="R352" s="137">
        <f>R353+R355</f>
        <v>3228279.5700000003</v>
      </c>
      <c r="S352" s="137">
        <f t="shared" si="144"/>
        <v>2758064.5200000005</v>
      </c>
      <c r="T352" s="138">
        <f t="shared" si="144"/>
        <v>2758064.5200000005</v>
      </c>
      <c r="U352" s="138">
        <f t="shared" si="144"/>
        <v>0</v>
      </c>
      <c r="V352" s="137">
        <f>V353+V355</f>
        <v>0</v>
      </c>
      <c r="W352" s="137">
        <f>W353+W355</f>
        <v>2758064.5200000005</v>
      </c>
      <c r="X352" s="138">
        <f t="shared" si="144"/>
        <v>2758064.5200000005</v>
      </c>
      <c r="Y352" s="138">
        <f>Y353+Y355</f>
        <v>0</v>
      </c>
      <c r="Z352" s="138">
        <f>Z353+Z355</f>
        <v>2758064.5200000005</v>
      </c>
    </row>
    <row r="353" spans="1:26" ht="45" customHeight="1" x14ac:dyDescent="0.2">
      <c r="A353" s="16"/>
      <c r="B353" s="147" t="s">
        <v>21</v>
      </c>
      <c r="C353" s="34" t="s">
        <v>129</v>
      </c>
      <c r="D353" s="10" t="s">
        <v>83</v>
      </c>
      <c r="E353" s="10" t="s">
        <v>83</v>
      </c>
      <c r="F353" s="10" t="s">
        <v>83</v>
      </c>
      <c r="G353" s="10" t="s">
        <v>177</v>
      </c>
      <c r="H353" s="11" t="s">
        <v>83</v>
      </c>
      <c r="I353" s="102" t="s">
        <v>96</v>
      </c>
      <c r="J353" s="40"/>
      <c r="K353" s="97"/>
      <c r="L353" s="137">
        <f t="shared" ref="L353:Z353" si="145">L354</f>
        <v>451959.14</v>
      </c>
      <c r="M353" s="137">
        <f t="shared" si="145"/>
        <v>0</v>
      </c>
      <c r="N353" s="137">
        <f t="shared" si="145"/>
        <v>451959.14</v>
      </c>
      <c r="O353" s="137">
        <f t="shared" si="145"/>
        <v>386129.03</v>
      </c>
      <c r="P353" s="137">
        <f t="shared" si="145"/>
        <v>0</v>
      </c>
      <c r="Q353" s="137">
        <f t="shared" si="145"/>
        <v>0</v>
      </c>
      <c r="R353" s="137">
        <f t="shared" si="145"/>
        <v>451959.14</v>
      </c>
      <c r="S353" s="137">
        <f t="shared" si="145"/>
        <v>386129.03</v>
      </c>
      <c r="T353" s="138">
        <f t="shared" si="145"/>
        <v>386129.03</v>
      </c>
      <c r="U353" s="138">
        <f t="shared" si="145"/>
        <v>0</v>
      </c>
      <c r="V353" s="137">
        <f t="shared" si="145"/>
        <v>0</v>
      </c>
      <c r="W353" s="137">
        <f t="shared" si="145"/>
        <v>386129.03</v>
      </c>
      <c r="X353" s="138">
        <f t="shared" si="145"/>
        <v>386129.03</v>
      </c>
      <c r="Y353" s="138">
        <f t="shared" si="145"/>
        <v>0</v>
      </c>
      <c r="Z353" s="138">
        <f t="shared" si="145"/>
        <v>386129.03</v>
      </c>
    </row>
    <row r="354" spans="1:26" ht="45" customHeight="1" x14ac:dyDescent="0.2">
      <c r="A354" s="16"/>
      <c r="B354" s="147" t="s">
        <v>141</v>
      </c>
      <c r="C354" s="34" t="s">
        <v>129</v>
      </c>
      <c r="D354" s="10" t="s">
        <v>83</v>
      </c>
      <c r="E354" s="10" t="s">
        <v>83</v>
      </c>
      <c r="F354" s="10" t="s">
        <v>83</v>
      </c>
      <c r="G354" s="10" t="s">
        <v>177</v>
      </c>
      <c r="H354" s="11" t="s">
        <v>83</v>
      </c>
      <c r="I354" s="102" t="s">
        <v>102</v>
      </c>
      <c r="J354" s="40"/>
      <c r="K354" s="97"/>
      <c r="L354" s="137">
        <v>451959.14</v>
      </c>
      <c r="M354" s="137">
        <v>0</v>
      </c>
      <c r="N354" s="137">
        <v>451959.14</v>
      </c>
      <c r="O354" s="137">
        <v>386129.03</v>
      </c>
      <c r="P354" s="137">
        <v>0</v>
      </c>
      <c r="Q354" s="137">
        <v>0</v>
      </c>
      <c r="R354" s="137">
        <v>451959.14</v>
      </c>
      <c r="S354" s="137">
        <v>386129.03</v>
      </c>
      <c r="T354" s="138">
        <v>386129.03</v>
      </c>
      <c r="U354" s="138">
        <v>0</v>
      </c>
      <c r="V354" s="137">
        <v>0</v>
      </c>
      <c r="W354" s="137">
        <v>386129.03</v>
      </c>
      <c r="X354" s="138">
        <v>386129.03</v>
      </c>
      <c r="Y354" s="138">
        <v>0</v>
      </c>
      <c r="Z354" s="138">
        <v>386129.03</v>
      </c>
    </row>
    <row r="355" spans="1:26" ht="21.75" customHeight="1" x14ac:dyDescent="0.2">
      <c r="A355" s="16"/>
      <c r="B355" s="100" t="s">
        <v>52</v>
      </c>
      <c r="C355" s="39" t="s">
        <v>129</v>
      </c>
      <c r="D355" s="16" t="s">
        <v>83</v>
      </c>
      <c r="E355" s="16" t="s">
        <v>83</v>
      </c>
      <c r="F355" s="16" t="s">
        <v>83</v>
      </c>
      <c r="G355" s="189" t="s">
        <v>177</v>
      </c>
      <c r="H355" s="10" t="s">
        <v>83</v>
      </c>
      <c r="I355" s="96" t="s">
        <v>53</v>
      </c>
      <c r="J355" s="40">
        <f t="shared" ref="J355:Z355" si="146">J356</f>
        <v>605700</v>
      </c>
      <c r="K355" s="97">
        <f t="shared" si="146"/>
        <v>0</v>
      </c>
      <c r="L355" s="137">
        <f t="shared" si="146"/>
        <v>2776320.43</v>
      </c>
      <c r="M355" s="137">
        <f t="shared" si="146"/>
        <v>0</v>
      </c>
      <c r="N355" s="137">
        <f t="shared" si="146"/>
        <v>2776320.43</v>
      </c>
      <c r="O355" s="137">
        <f t="shared" si="146"/>
        <v>2371935.4900000002</v>
      </c>
      <c r="P355" s="137">
        <f t="shared" si="146"/>
        <v>0</v>
      </c>
      <c r="Q355" s="137">
        <f t="shared" si="146"/>
        <v>0</v>
      </c>
      <c r="R355" s="137">
        <f t="shared" si="146"/>
        <v>2776320.43</v>
      </c>
      <c r="S355" s="137">
        <f t="shared" si="146"/>
        <v>2371935.4900000002</v>
      </c>
      <c r="T355" s="138">
        <f t="shared" si="146"/>
        <v>2371935.4900000002</v>
      </c>
      <c r="U355" s="138">
        <f t="shared" si="146"/>
        <v>0</v>
      </c>
      <c r="V355" s="137">
        <f t="shared" si="146"/>
        <v>0</v>
      </c>
      <c r="W355" s="137">
        <f t="shared" si="146"/>
        <v>2371935.4900000002</v>
      </c>
      <c r="X355" s="138">
        <f t="shared" si="146"/>
        <v>2371935.4900000002</v>
      </c>
      <c r="Y355" s="138">
        <f t="shared" si="146"/>
        <v>0</v>
      </c>
      <c r="Z355" s="138">
        <f t="shared" si="146"/>
        <v>2371935.4900000002</v>
      </c>
    </row>
    <row r="356" spans="1:26" ht="45" customHeight="1" x14ac:dyDescent="0.2">
      <c r="A356" s="16"/>
      <c r="B356" s="169" t="s">
        <v>113</v>
      </c>
      <c r="C356" s="194" t="s">
        <v>129</v>
      </c>
      <c r="D356" s="49" t="s">
        <v>83</v>
      </c>
      <c r="E356" s="49" t="s">
        <v>83</v>
      </c>
      <c r="F356" s="49" t="s">
        <v>83</v>
      </c>
      <c r="G356" s="121" t="s">
        <v>177</v>
      </c>
      <c r="H356" s="26" t="s">
        <v>83</v>
      </c>
      <c r="I356" s="171" t="s">
        <v>88</v>
      </c>
      <c r="J356" s="177">
        <v>605700</v>
      </c>
      <c r="K356" s="153">
        <v>0</v>
      </c>
      <c r="L356" s="256">
        <v>2776320.43</v>
      </c>
      <c r="M356" s="256">
        <v>0</v>
      </c>
      <c r="N356" s="256">
        <v>2776320.43</v>
      </c>
      <c r="O356" s="256">
        <v>2371935.4900000002</v>
      </c>
      <c r="P356" s="256">
        <v>0</v>
      </c>
      <c r="Q356" s="256">
        <v>0</v>
      </c>
      <c r="R356" s="256">
        <v>2776320.43</v>
      </c>
      <c r="S356" s="256">
        <v>2371935.4900000002</v>
      </c>
      <c r="T356" s="257">
        <v>2371935.4900000002</v>
      </c>
      <c r="U356" s="257">
        <v>0</v>
      </c>
      <c r="V356" s="256">
        <v>0</v>
      </c>
      <c r="W356" s="256">
        <v>2371935.4900000002</v>
      </c>
      <c r="X356" s="257">
        <v>2371935.4900000002</v>
      </c>
      <c r="Y356" s="257">
        <v>0</v>
      </c>
      <c r="Z356" s="257">
        <v>2371935.4900000002</v>
      </c>
    </row>
    <row r="357" spans="1:26" ht="51.75" customHeight="1" x14ac:dyDescent="0.2">
      <c r="A357" s="16"/>
      <c r="B357" s="290" t="s">
        <v>231</v>
      </c>
      <c r="C357" s="255" t="s">
        <v>180</v>
      </c>
      <c r="D357" s="255" t="s">
        <v>83</v>
      </c>
      <c r="E357" s="129" t="s">
        <v>83</v>
      </c>
      <c r="F357" s="129" t="s">
        <v>83</v>
      </c>
      <c r="G357" s="258" t="s">
        <v>84</v>
      </c>
      <c r="H357" s="130" t="s">
        <v>83</v>
      </c>
      <c r="I357" s="269"/>
      <c r="J357" s="265"/>
      <c r="K357" s="266"/>
      <c r="L357" s="261">
        <f t="shared" ref="L357:Z359" si="147">L358</f>
        <v>0</v>
      </c>
      <c r="M357" s="261">
        <f t="shared" si="147"/>
        <v>0</v>
      </c>
      <c r="N357" s="261">
        <f>N358+N361</f>
        <v>0</v>
      </c>
      <c r="O357" s="261">
        <f t="shared" ref="O357:Z357" si="148">O358+O361</f>
        <v>933445.2</v>
      </c>
      <c r="P357" s="261">
        <f t="shared" si="148"/>
        <v>0</v>
      </c>
      <c r="Q357" s="261">
        <f t="shared" si="148"/>
        <v>17447672.699999999</v>
      </c>
      <c r="R357" s="261">
        <f t="shared" si="148"/>
        <v>17447672.699999999</v>
      </c>
      <c r="S357" s="261">
        <f t="shared" si="148"/>
        <v>466722.6</v>
      </c>
      <c r="T357" s="261">
        <f t="shared" si="148"/>
        <v>933445.2</v>
      </c>
      <c r="U357" s="261">
        <f t="shared" si="148"/>
        <v>0</v>
      </c>
      <c r="V357" s="261">
        <f t="shared" si="148"/>
        <v>0</v>
      </c>
      <c r="W357" s="261">
        <f t="shared" si="148"/>
        <v>466722.6</v>
      </c>
      <c r="X357" s="261">
        <f t="shared" si="148"/>
        <v>466722.6</v>
      </c>
      <c r="Y357" s="261">
        <f t="shared" si="148"/>
        <v>0</v>
      </c>
      <c r="Z357" s="261">
        <f t="shared" si="148"/>
        <v>466722.6</v>
      </c>
    </row>
    <row r="358" spans="1:26" ht="27" customHeight="1" x14ac:dyDescent="0.2">
      <c r="A358" s="16"/>
      <c r="B358" s="252" t="s">
        <v>222</v>
      </c>
      <c r="C358" s="14" t="s">
        <v>180</v>
      </c>
      <c r="D358" s="14" t="s">
        <v>83</v>
      </c>
      <c r="E358" s="10" t="s">
        <v>83</v>
      </c>
      <c r="F358" s="10" t="s">
        <v>83</v>
      </c>
      <c r="G358" s="15" t="s">
        <v>223</v>
      </c>
      <c r="H358" s="11" t="s">
        <v>83</v>
      </c>
      <c r="I358" s="260"/>
      <c r="J358" s="12"/>
      <c r="K358" s="13"/>
      <c r="L358" s="104">
        <f t="shared" si="147"/>
        <v>0</v>
      </c>
      <c r="M358" s="104">
        <f t="shared" si="147"/>
        <v>0</v>
      </c>
      <c r="N358" s="104">
        <f t="shared" si="147"/>
        <v>0</v>
      </c>
      <c r="O358" s="104">
        <f t="shared" si="147"/>
        <v>466722.6</v>
      </c>
      <c r="P358" s="104">
        <f t="shared" si="147"/>
        <v>0</v>
      </c>
      <c r="Q358" s="104">
        <f t="shared" si="147"/>
        <v>0</v>
      </c>
      <c r="R358" s="104">
        <f t="shared" si="147"/>
        <v>0</v>
      </c>
      <c r="S358" s="104">
        <f t="shared" si="147"/>
        <v>466722.6</v>
      </c>
      <c r="T358" s="104">
        <f t="shared" si="147"/>
        <v>466722.6</v>
      </c>
      <c r="U358" s="104">
        <f t="shared" si="147"/>
        <v>0</v>
      </c>
      <c r="V358" s="104">
        <f t="shared" si="147"/>
        <v>0</v>
      </c>
      <c r="W358" s="104">
        <f t="shared" si="147"/>
        <v>466722.6</v>
      </c>
      <c r="X358" s="104">
        <f t="shared" si="147"/>
        <v>466722.6</v>
      </c>
      <c r="Y358" s="104">
        <f>Y359</f>
        <v>0</v>
      </c>
      <c r="Z358" s="104">
        <f t="shared" si="147"/>
        <v>466722.6</v>
      </c>
    </row>
    <row r="359" spans="1:26" ht="28.5" customHeight="1" x14ac:dyDescent="0.2">
      <c r="A359" s="16"/>
      <c r="B359" s="250" t="s">
        <v>42</v>
      </c>
      <c r="C359" s="14" t="s">
        <v>180</v>
      </c>
      <c r="D359" s="14" t="s">
        <v>83</v>
      </c>
      <c r="E359" s="10" t="s">
        <v>83</v>
      </c>
      <c r="F359" s="10" t="s">
        <v>83</v>
      </c>
      <c r="G359" s="15" t="s">
        <v>223</v>
      </c>
      <c r="H359" s="11" t="s">
        <v>83</v>
      </c>
      <c r="I359" s="260" t="s">
        <v>43</v>
      </c>
      <c r="J359" s="12"/>
      <c r="K359" s="13"/>
      <c r="L359" s="104">
        <f t="shared" si="147"/>
        <v>0</v>
      </c>
      <c r="M359" s="104">
        <f t="shared" si="147"/>
        <v>0</v>
      </c>
      <c r="N359" s="104">
        <f t="shared" si="147"/>
        <v>0</v>
      </c>
      <c r="O359" s="104">
        <f t="shared" si="147"/>
        <v>466722.6</v>
      </c>
      <c r="P359" s="104">
        <f t="shared" si="147"/>
        <v>0</v>
      </c>
      <c r="Q359" s="104">
        <f t="shared" si="147"/>
        <v>0</v>
      </c>
      <c r="R359" s="104">
        <f t="shared" si="147"/>
        <v>0</v>
      </c>
      <c r="S359" s="104">
        <f t="shared" si="147"/>
        <v>466722.6</v>
      </c>
      <c r="T359" s="104">
        <f t="shared" si="147"/>
        <v>466722.6</v>
      </c>
      <c r="U359" s="104">
        <f t="shared" si="147"/>
        <v>0</v>
      </c>
      <c r="V359" s="104">
        <f t="shared" si="147"/>
        <v>0</v>
      </c>
      <c r="W359" s="104">
        <f t="shared" si="147"/>
        <v>466722.6</v>
      </c>
      <c r="X359" s="104">
        <f t="shared" si="147"/>
        <v>466722.6</v>
      </c>
      <c r="Y359" s="104">
        <f t="shared" si="147"/>
        <v>0</v>
      </c>
      <c r="Z359" s="104">
        <f t="shared" si="147"/>
        <v>466722.6</v>
      </c>
    </row>
    <row r="360" spans="1:26" ht="36" customHeight="1" x14ac:dyDescent="0.2">
      <c r="A360" s="16"/>
      <c r="B360" s="250" t="s">
        <v>44</v>
      </c>
      <c r="C360" s="14" t="s">
        <v>180</v>
      </c>
      <c r="D360" s="14" t="s">
        <v>83</v>
      </c>
      <c r="E360" s="10" t="s">
        <v>83</v>
      </c>
      <c r="F360" s="10" t="s">
        <v>83</v>
      </c>
      <c r="G360" s="15" t="s">
        <v>223</v>
      </c>
      <c r="H360" s="11" t="s">
        <v>83</v>
      </c>
      <c r="I360" s="18" t="s">
        <v>45</v>
      </c>
      <c r="J360" s="12"/>
      <c r="K360" s="13"/>
      <c r="L360" s="104">
        <v>0</v>
      </c>
      <c r="M360" s="104">
        <v>0</v>
      </c>
      <c r="N360" s="104">
        <v>0</v>
      </c>
      <c r="O360" s="104">
        <f>466722.6</f>
        <v>466722.6</v>
      </c>
      <c r="P360" s="104">
        <v>0</v>
      </c>
      <c r="Q360" s="104">
        <v>0</v>
      </c>
      <c r="R360" s="104">
        <v>0</v>
      </c>
      <c r="S360" s="104">
        <f>466722.6</f>
        <v>466722.6</v>
      </c>
      <c r="T360" s="104">
        <f>466722.6</f>
        <v>466722.6</v>
      </c>
      <c r="U360" s="104">
        <v>0</v>
      </c>
      <c r="V360" s="104">
        <v>0</v>
      </c>
      <c r="W360" s="104">
        <f>466722.6</f>
        <v>466722.6</v>
      </c>
      <c r="X360" s="104">
        <f>466722.6</f>
        <v>466722.6</v>
      </c>
      <c r="Y360" s="104">
        <v>0</v>
      </c>
      <c r="Z360" s="104">
        <f>466722.6</f>
        <v>466722.6</v>
      </c>
    </row>
    <row r="361" spans="1:26" ht="65.25" customHeight="1" x14ac:dyDescent="0.2">
      <c r="A361" s="16"/>
      <c r="B361" s="250" t="s">
        <v>308</v>
      </c>
      <c r="C361" s="14" t="s">
        <v>180</v>
      </c>
      <c r="D361" s="14" t="s">
        <v>83</v>
      </c>
      <c r="E361" s="10" t="s">
        <v>306</v>
      </c>
      <c r="F361" s="10" t="s">
        <v>81</v>
      </c>
      <c r="G361" s="15" t="s">
        <v>307</v>
      </c>
      <c r="H361" s="11" t="s">
        <v>85</v>
      </c>
      <c r="I361" s="260"/>
      <c r="J361" s="12"/>
      <c r="K361" s="13"/>
      <c r="L361" s="104">
        <f t="shared" ref="L361:W362" si="149">L362</f>
        <v>0</v>
      </c>
      <c r="M361" s="104">
        <f t="shared" si="149"/>
        <v>0</v>
      </c>
      <c r="N361" s="104">
        <f t="shared" si="149"/>
        <v>0</v>
      </c>
      <c r="O361" s="103">
        <f t="shared" si="149"/>
        <v>466722.6</v>
      </c>
      <c r="P361" s="104">
        <f t="shared" si="149"/>
        <v>0</v>
      </c>
      <c r="Q361" s="104">
        <f t="shared" si="149"/>
        <v>17447672.699999999</v>
      </c>
      <c r="R361" s="104">
        <f t="shared" si="149"/>
        <v>17447672.699999999</v>
      </c>
      <c r="S361" s="104">
        <f t="shared" si="149"/>
        <v>0</v>
      </c>
      <c r="T361" s="103">
        <f t="shared" si="149"/>
        <v>466722.6</v>
      </c>
      <c r="U361" s="104">
        <f t="shared" si="149"/>
        <v>0</v>
      </c>
      <c r="V361" s="104">
        <f t="shared" si="149"/>
        <v>0</v>
      </c>
      <c r="W361" s="104">
        <f t="shared" si="149"/>
        <v>0</v>
      </c>
      <c r="X361" s="104">
        <f>X362</f>
        <v>0</v>
      </c>
      <c r="Y361" s="104">
        <f t="shared" ref="Y361:Z361" si="150">Y362</f>
        <v>0</v>
      </c>
      <c r="Z361" s="104">
        <f t="shared" si="150"/>
        <v>0</v>
      </c>
    </row>
    <row r="362" spans="1:26" ht="36" customHeight="1" x14ac:dyDescent="0.2">
      <c r="A362" s="16"/>
      <c r="B362" s="250" t="s">
        <v>42</v>
      </c>
      <c r="C362" s="14" t="s">
        <v>180</v>
      </c>
      <c r="D362" s="14" t="s">
        <v>83</v>
      </c>
      <c r="E362" s="10" t="s">
        <v>306</v>
      </c>
      <c r="F362" s="10" t="s">
        <v>81</v>
      </c>
      <c r="G362" s="15" t="s">
        <v>307</v>
      </c>
      <c r="H362" s="11" t="s">
        <v>85</v>
      </c>
      <c r="I362" s="260" t="s">
        <v>43</v>
      </c>
      <c r="J362" s="12"/>
      <c r="K362" s="13"/>
      <c r="L362" s="104">
        <f t="shared" si="149"/>
        <v>0</v>
      </c>
      <c r="M362" s="104">
        <f t="shared" si="149"/>
        <v>0</v>
      </c>
      <c r="N362" s="104">
        <f t="shared" si="149"/>
        <v>0</v>
      </c>
      <c r="O362" s="103">
        <f t="shared" si="149"/>
        <v>466722.6</v>
      </c>
      <c r="P362" s="104">
        <f t="shared" si="149"/>
        <v>0</v>
      </c>
      <c r="Q362" s="104">
        <f t="shared" si="149"/>
        <v>17447672.699999999</v>
      </c>
      <c r="R362" s="104">
        <f t="shared" si="149"/>
        <v>17447672.699999999</v>
      </c>
      <c r="S362" s="104">
        <f t="shared" si="149"/>
        <v>0</v>
      </c>
      <c r="T362" s="103">
        <f t="shared" si="149"/>
        <v>466722.6</v>
      </c>
      <c r="U362" s="104">
        <f t="shared" si="149"/>
        <v>0</v>
      </c>
      <c r="V362" s="104">
        <f t="shared" si="149"/>
        <v>0</v>
      </c>
      <c r="W362" s="104">
        <f t="shared" si="149"/>
        <v>0</v>
      </c>
      <c r="X362" s="104">
        <f>0</f>
        <v>0</v>
      </c>
      <c r="Y362" s="104">
        <f>0</f>
        <v>0</v>
      </c>
      <c r="Z362" s="104">
        <f>0</f>
        <v>0</v>
      </c>
    </row>
    <row r="363" spans="1:26" ht="36" customHeight="1" x14ac:dyDescent="0.2">
      <c r="A363" s="16"/>
      <c r="B363" s="271" t="s">
        <v>44</v>
      </c>
      <c r="C363" s="38" t="s">
        <v>180</v>
      </c>
      <c r="D363" s="38" t="s">
        <v>83</v>
      </c>
      <c r="E363" s="26" t="s">
        <v>306</v>
      </c>
      <c r="F363" s="26" t="s">
        <v>81</v>
      </c>
      <c r="G363" s="27" t="s">
        <v>307</v>
      </c>
      <c r="H363" s="28" t="s">
        <v>85</v>
      </c>
      <c r="I363" s="187" t="s">
        <v>45</v>
      </c>
      <c r="J363" s="29"/>
      <c r="K363" s="30"/>
      <c r="L363" s="216">
        <v>0</v>
      </c>
      <c r="M363" s="216">
        <v>0</v>
      </c>
      <c r="N363" s="216">
        <v>0</v>
      </c>
      <c r="O363" s="103">
        <f>466722.6</f>
        <v>466722.6</v>
      </c>
      <c r="P363" s="104">
        <v>0</v>
      </c>
      <c r="Q363" s="104">
        <f>2672343.05+14775329.65</f>
        <v>17447672.699999999</v>
      </c>
      <c r="R363" s="104">
        <f>Q363</f>
        <v>17447672.699999999</v>
      </c>
      <c r="S363" s="104">
        <v>0</v>
      </c>
      <c r="T363" s="103">
        <f>466722.6</f>
        <v>466722.6</v>
      </c>
      <c r="U363" s="104">
        <v>0</v>
      </c>
      <c r="V363" s="104">
        <v>0</v>
      </c>
      <c r="W363" s="104">
        <v>0</v>
      </c>
      <c r="X363" s="104">
        <v>0</v>
      </c>
      <c r="Y363" s="104">
        <v>0</v>
      </c>
      <c r="Z363" s="104">
        <v>0</v>
      </c>
    </row>
    <row r="364" spans="1:26" ht="4.5" customHeight="1" x14ac:dyDescent="0.2">
      <c r="A364" s="16"/>
      <c r="B364" s="250"/>
      <c r="C364" s="21"/>
      <c r="D364" s="21"/>
      <c r="E364" s="10"/>
      <c r="F364" s="10"/>
      <c r="G364" s="21"/>
      <c r="H364" s="11"/>
      <c r="I364" s="180"/>
      <c r="J364" s="97"/>
      <c r="K364" s="97"/>
      <c r="L364" s="97"/>
      <c r="M364" s="97"/>
      <c r="N364" s="97"/>
      <c r="O364" s="201"/>
      <c r="P364" s="201"/>
      <c r="Q364" s="200"/>
      <c r="R364" s="200"/>
      <c r="S364" s="201"/>
      <c r="T364" s="202"/>
      <c r="U364" s="202"/>
      <c r="V364" s="201"/>
      <c r="W364" s="201"/>
      <c r="X364" s="202"/>
      <c r="Y364" s="202"/>
      <c r="Z364" s="202"/>
    </row>
    <row r="365" spans="1:26" ht="93" customHeight="1" x14ac:dyDescent="0.2">
      <c r="A365" s="16"/>
      <c r="B365" s="286" t="s">
        <v>246</v>
      </c>
      <c r="C365" s="118" t="s">
        <v>169</v>
      </c>
      <c r="D365" s="118" t="s">
        <v>83</v>
      </c>
      <c r="E365" s="118" t="s">
        <v>83</v>
      </c>
      <c r="F365" s="118" t="s">
        <v>83</v>
      </c>
      <c r="G365" s="118" t="s">
        <v>84</v>
      </c>
      <c r="H365" s="116" t="s">
        <v>83</v>
      </c>
      <c r="I365" s="198"/>
      <c r="J365" s="97" t="e">
        <f>J366</f>
        <v>#REF!</v>
      </c>
      <c r="K365" s="97" t="e">
        <f>K366</f>
        <v>#REF!</v>
      </c>
      <c r="L365" s="84">
        <f>L366</f>
        <v>0</v>
      </c>
      <c r="M365" s="84">
        <f>M366</f>
        <v>1000000</v>
      </c>
      <c r="N365" s="84">
        <f>N366+N369</f>
        <v>1000000</v>
      </c>
      <c r="O365" s="84">
        <f t="shared" ref="O365:Z365" si="151">O366+O369</f>
        <v>114399334.18000001</v>
      </c>
      <c r="P365" s="84">
        <f t="shared" si="151"/>
        <v>33201770</v>
      </c>
      <c r="Q365" s="84">
        <f t="shared" si="151"/>
        <v>1534370</v>
      </c>
      <c r="R365" s="84">
        <f t="shared" si="151"/>
        <v>2534370</v>
      </c>
      <c r="S365" s="84">
        <f t="shared" si="151"/>
        <v>92888057.090000004</v>
      </c>
      <c r="T365" s="84">
        <f t="shared" si="151"/>
        <v>179713094.18000001</v>
      </c>
      <c r="U365" s="84">
        <f t="shared" si="151"/>
        <v>980000</v>
      </c>
      <c r="V365" s="84">
        <f t="shared" si="151"/>
        <v>0</v>
      </c>
      <c r="W365" s="84">
        <f t="shared" si="151"/>
        <v>92888057.090000004</v>
      </c>
      <c r="X365" s="84">
        <f t="shared" si="151"/>
        <v>91371297.090000004</v>
      </c>
      <c r="Y365" s="84">
        <f t="shared" si="151"/>
        <v>0</v>
      </c>
      <c r="Z365" s="85">
        <f t="shared" si="151"/>
        <v>91371297.090000004</v>
      </c>
    </row>
    <row r="366" spans="1:26" ht="33.75" customHeight="1" x14ac:dyDescent="0.2">
      <c r="A366" s="16"/>
      <c r="B366" s="250" t="s">
        <v>171</v>
      </c>
      <c r="C366" s="10" t="s">
        <v>169</v>
      </c>
      <c r="D366" s="10" t="s">
        <v>83</v>
      </c>
      <c r="E366" s="10" t="s">
        <v>83</v>
      </c>
      <c r="F366" s="10" t="s">
        <v>83</v>
      </c>
      <c r="G366" s="10" t="s">
        <v>131</v>
      </c>
      <c r="H366" s="11" t="s">
        <v>83</v>
      </c>
      <c r="I366" s="198"/>
      <c r="J366" s="97" t="e">
        <f>#REF!+J367</f>
        <v>#REF!</v>
      </c>
      <c r="K366" s="97" t="e">
        <f>#REF!+K367</f>
        <v>#REF!</v>
      </c>
      <c r="L366" s="97">
        <f t="shared" ref="L366:N367" si="152">L367</f>
        <v>0</v>
      </c>
      <c r="M366" s="97">
        <f t="shared" si="152"/>
        <v>1000000</v>
      </c>
      <c r="N366" s="97">
        <f t="shared" si="152"/>
        <v>1000000</v>
      </c>
      <c r="O366" s="98">
        <f t="shared" ref="O366:Z366" si="153">O367</f>
        <v>92888057.090000004</v>
      </c>
      <c r="P366" s="98">
        <f t="shared" si="153"/>
        <v>0</v>
      </c>
      <c r="Q366" s="97">
        <f t="shared" si="153"/>
        <v>0</v>
      </c>
      <c r="R366" s="97">
        <f t="shared" si="153"/>
        <v>1000000</v>
      </c>
      <c r="S366" s="98">
        <f t="shared" si="153"/>
        <v>92888057.090000004</v>
      </c>
      <c r="T366" s="99">
        <f t="shared" si="153"/>
        <v>91371297.090000004</v>
      </c>
      <c r="U366" s="99">
        <f t="shared" si="153"/>
        <v>0</v>
      </c>
      <c r="V366" s="98">
        <f t="shared" si="153"/>
        <v>0</v>
      </c>
      <c r="W366" s="98">
        <f t="shared" si="153"/>
        <v>92888057.090000004</v>
      </c>
      <c r="X366" s="99">
        <f t="shared" si="153"/>
        <v>91371297.090000004</v>
      </c>
      <c r="Y366" s="99">
        <f t="shared" si="153"/>
        <v>0</v>
      </c>
      <c r="Z366" s="99">
        <f t="shared" si="153"/>
        <v>91371297.090000004</v>
      </c>
    </row>
    <row r="367" spans="1:26" ht="28.5" customHeight="1" x14ac:dyDescent="0.2">
      <c r="A367" s="16"/>
      <c r="B367" s="250" t="s">
        <v>42</v>
      </c>
      <c r="C367" s="10" t="s">
        <v>169</v>
      </c>
      <c r="D367" s="10" t="s">
        <v>83</v>
      </c>
      <c r="E367" s="10" t="s">
        <v>83</v>
      </c>
      <c r="F367" s="10" t="s">
        <v>83</v>
      </c>
      <c r="G367" s="10" t="s">
        <v>131</v>
      </c>
      <c r="H367" s="11" t="s">
        <v>83</v>
      </c>
      <c r="I367" s="198" t="s">
        <v>43</v>
      </c>
      <c r="J367" s="97">
        <f>J368</f>
        <v>24300</v>
      </c>
      <c r="K367" s="97">
        <f>K368</f>
        <v>0</v>
      </c>
      <c r="L367" s="103">
        <f t="shared" si="152"/>
        <v>0</v>
      </c>
      <c r="M367" s="103">
        <f t="shared" si="152"/>
        <v>1000000</v>
      </c>
      <c r="N367" s="103">
        <f t="shared" si="152"/>
        <v>1000000</v>
      </c>
      <c r="O367" s="104">
        <f t="shared" ref="O367:Z367" si="154">O368</f>
        <v>92888057.090000004</v>
      </c>
      <c r="P367" s="104">
        <f t="shared" si="154"/>
        <v>0</v>
      </c>
      <c r="Q367" s="103">
        <f>Q368</f>
        <v>0</v>
      </c>
      <c r="R367" s="103">
        <f>R368</f>
        <v>1000000</v>
      </c>
      <c r="S367" s="104">
        <f t="shared" si="154"/>
        <v>92888057.090000004</v>
      </c>
      <c r="T367" s="105">
        <f t="shared" si="154"/>
        <v>91371297.090000004</v>
      </c>
      <c r="U367" s="105">
        <f t="shared" si="154"/>
        <v>0</v>
      </c>
      <c r="V367" s="104">
        <f t="shared" si="154"/>
        <v>0</v>
      </c>
      <c r="W367" s="104">
        <f t="shared" si="154"/>
        <v>92888057.090000004</v>
      </c>
      <c r="X367" s="105">
        <f t="shared" si="154"/>
        <v>91371297.090000004</v>
      </c>
      <c r="Y367" s="105">
        <f t="shared" si="154"/>
        <v>0</v>
      </c>
      <c r="Z367" s="105">
        <f t="shared" si="154"/>
        <v>91371297.090000004</v>
      </c>
    </row>
    <row r="368" spans="1:26" ht="36.75" customHeight="1" x14ac:dyDescent="0.2">
      <c r="A368" s="16"/>
      <c r="B368" s="250" t="s">
        <v>44</v>
      </c>
      <c r="C368" s="10" t="s">
        <v>169</v>
      </c>
      <c r="D368" s="10" t="s">
        <v>83</v>
      </c>
      <c r="E368" s="10" t="s">
        <v>83</v>
      </c>
      <c r="F368" s="10" t="s">
        <v>83</v>
      </c>
      <c r="G368" s="10" t="s">
        <v>131</v>
      </c>
      <c r="H368" s="11" t="s">
        <v>83</v>
      </c>
      <c r="I368" s="198" t="s">
        <v>45</v>
      </c>
      <c r="J368" s="97">
        <v>24300</v>
      </c>
      <c r="K368" s="97">
        <v>0</v>
      </c>
      <c r="L368" s="97">
        <v>0</v>
      </c>
      <c r="M368" s="97">
        <v>1000000</v>
      </c>
      <c r="N368" s="97">
        <f>M368</f>
        <v>1000000</v>
      </c>
      <c r="O368" s="98">
        <v>92888057.090000004</v>
      </c>
      <c r="P368" s="98">
        <v>0</v>
      </c>
      <c r="Q368" s="97">
        <f>P368</f>
        <v>0</v>
      </c>
      <c r="R368" s="97">
        <v>1000000</v>
      </c>
      <c r="S368" s="98">
        <v>92888057.090000004</v>
      </c>
      <c r="T368" s="99">
        <v>91371297.090000004</v>
      </c>
      <c r="U368" s="99">
        <v>0</v>
      </c>
      <c r="V368" s="98">
        <v>0</v>
      </c>
      <c r="W368" s="98">
        <v>92888057.090000004</v>
      </c>
      <c r="X368" s="99">
        <v>91371297.090000004</v>
      </c>
      <c r="Y368" s="99">
        <v>0</v>
      </c>
      <c r="Z368" s="99">
        <v>91371297.090000004</v>
      </c>
    </row>
    <row r="369" spans="1:28" ht="36.75" customHeight="1" x14ac:dyDescent="0.2">
      <c r="A369" s="16"/>
      <c r="B369" s="250" t="s">
        <v>244</v>
      </c>
      <c r="C369" s="10" t="s">
        <v>169</v>
      </c>
      <c r="D369" s="10" t="s">
        <v>83</v>
      </c>
      <c r="E369" s="10" t="s">
        <v>83</v>
      </c>
      <c r="F369" s="10" t="s">
        <v>83</v>
      </c>
      <c r="G369" s="10" t="s">
        <v>274</v>
      </c>
      <c r="H369" s="11" t="s">
        <v>83</v>
      </c>
      <c r="I369" s="198"/>
      <c r="J369" s="12" t="e">
        <f>#REF!+J370</f>
        <v>#REF!</v>
      </c>
      <c r="K369" s="13" t="e">
        <f>#REF!+K370</f>
        <v>#REF!</v>
      </c>
      <c r="L369" s="104">
        <f t="shared" ref="L369:Z370" si="155">L370</f>
        <v>0</v>
      </c>
      <c r="M369" s="104">
        <f t="shared" si="155"/>
        <v>1000000</v>
      </c>
      <c r="N369" s="104">
        <f t="shared" si="155"/>
        <v>0</v>
      </c>
      <c r="O369" s="12">
        <f t="shared" si="155"/>
        <v>21511277.09</v>
      </c>
      <c r="P369" s="104">
        <f t="shared" si="155"/>
        <v>33201770</v>
      </c>
      <c r="Q369" s="104">
        <f t="shared" si="155"/>
        <v>1534370</v>
      </c>
      <c r="R369" s="104">
        <f t="shared" si="155"/>
        <v>1534370</v>
      </c>
      <c r="S369" s="12">
        <f t="shared" si="155"/>
        <v>0</v>
      </c>
      <c r="T369" s="104">
        <f t="shared" si="155"/>
        <v>88341797.090000004</v>
      </c>
      <c r="U369" s="103">
        <f t="shared" si="155"/>
        <v>980000</v>
      </c>
      <c r="V369" s="104">
        <f t="shared" si="155"/>
        <v>0</v>
      </c>
      <c r="W369" s="12">
        <f t="shared" si="155"/>
        <v>0</v>
      </c>
      <c r="X369" s="104">
        <f t="shared" si="155"/>
        <v>0</v>
      </c>
      <c r="Y369" s="104">
        <f t="shared" si="155"/>
        <v>0</v>
      </c>
      <c r="Z369" s="104">
        <f t="shared" si="155"/>
        <v>0</v>
      </c>
    </row>
    <row r="370" spans="1:28" ht="36.75" customHeight="1" x14ac:dyDescent="0.2">
      <c r="A370" s="16"/>
      <c r="B370" s="250" t="s">
        <v>42</v>
      </c>
      <c r="C370" s="10" t="s">
        <v>169</v>
      </c>
      <c r="D370" s="10" t="s">
        <v>83</v>
      </c>
      <c r="E370" s="10" t="s">
        <v>83</v>
      </c>
      <c r="F370" s="10" t="s">
        <v>83</v>
      </c>
      <c r="G370" s="10" t="s">
        <v>274</v>
      </c>
      <c r="H370" s="11" t="s">
        <v>83</v>
      </c>
      <c r="I370" s="198" t="s">
        <v>43</v>
      </c>
      <c r="J370" s="41">
        <f>J371</f>
        <v>24300</v>
      </c>
      <c r="K370" s="42">
        <f>K371</f>
        <v>0</v>
      </c>
      <c r="L370" s="104">
        <f t="shared" si="155"/>
        <v>0</v>
      </c>
      <c r="M370" s="104">
        <f t="shared" si="155"/>
        <v>1000000</v>
      </c>
      <c r="N370" s="104">
        <f t="shared" si="155"/>
        <v>0</v>
      </c>
      <c r="O370" s="12">
        <f t="shared" si="155"/>
        <v>21511277.09</v>
      </c>
      <c r="P370" s="104">
        <f t="shared" si="155"/>
        <v>33201770</v>
      </c>
      <c r="Q370" s="104">
        <f t="shared" si="155"/>
        <v>1534370</v>
      </c>
      <c r="R370" s="104">
        <f t="shared" si="155"/>
        <v>1534370</v>
      </c>
      <c r="S370" s="12">
        <f t="shared" si="155"/>
        <v>0</v>
      </c>
      <c r="T370" s="104">
        <f t="shared" si="155"/>
        <v>88341797.090000004</v>
      </c>
      <c r="U370" s="103">
        <f t="shared" si="155"/>
        <v>980000</v>
      </c>
      <c r="V370" s="104">
        <f t="shared" si="155"/>
        <v>0</v>
      </c>
      <c r="W370" s="12">
        <f t="shared" si="155"/>
        <v>0</v>
      </c>
      <c r="X370" s="104">
        <f t="shared" si="155"/>
        <v>0</v>
      </c>
      <c r="Y370" s="104">
        <f t="shared" si="155"/>
        <v>0</v>
      </c>
      <c r="Z370" s="104">
        <f t="shared" si="155"/>
        <v>0</v>
      </c>
    </row>
    <row r="371" spans="1:28" ht="36.75" customHeight="1" x14ac:dyDescent="0.2">
      <c r="A371" s="16"/>
      <c r="B371" s="250" t="s">
        <v>44</v>
      </c>
      <c r="C371" s="10" t="s">
        <v>169</v>
      </c>
      <c r="D371" s="10" t="s">
        <v>83</v>
      </c>
      <c r="E371" s="10" t="s">
        <v>83</v>
      </c>
      <c r="F371" s="10" t="s">
        <v>83</v>
      </c>
      <c r="G371" s="10" t="s">
        <v>274</v>
      </c>
      <c r="H371" s="11" t="s">
        <v>83</v>
      </c>
      <c r="I371" s="198" t="s">
        <v>45</v>
      </c>
      <c r="J371" s="43">
        <v>24300</v>
      </c>
      <c r="K371" s="44">
        <v>0</v>
      </c>
      <c r="L371" s="98">
        <v>0</v>
      </c>
      <c r="M371" s="98">
        <v>1000000</v>
      </c>
      <c r="N371" s="98">
        <v>0</v>
      </c>
      <c r="O371" s="40">
        <v>21511277.09</v>
      </c>
      <c r="P371" s="98">
        <f>14539830+18661940</f>
        <v>33201770</v>
      </c>
      <c r="Q371" s="98">
        <v>1534370</v>
      </c>
      <c r="R371" s="98">
        <f>Q371</f>
        <v>1534370</v>
      </c>
      <c r="S371" s="40">
        <v>0</v>
      </c>
      <c r="T371" s="98">
        <v>88341797.090000004</v>
      </c>
      <c r="U371" s="97">
        <f>730500+249500</f>
        <v>980000</v>
      </c>
      <c r="V371" s="98">
        <v>0</v>
      </c>
      <c r="W371" s="40">
        <v>0</v>
      </c>
      <c r="X371" s="98">
        <v>0</v>
      </c>
      <c r="Y371" s="98">
        <v>0</v>
      </c>
      <c r="Z371" s="98">
        <v>0</v>
      </c>
    </row>
    <row r="372" spans="1:28" ht="9" customHeight="1" x14ac:dyDescent="0.2">
      <c r="A372" s="16"/>
      <c r="B372" s="271"/>
      <c r="C372" s="26"/>
      <c r="D372" s="26"/>
      <c r="E372" s="26"/>
      <c r="F372" s="26"/>
      <c r="G372" s="26"/>
      <c r="H372" s="28"/>
      <c r="I372" s="195"/>
      <c r="J372" s="153"/>
      <c r="K372" s="153"/>
      <c r="L372" s="153"/>
      <c r="M372" s="153"/>
      <c r="N372" s="153"/>
      <c r="O372" s="154"/>
      <c r="P372" s="154"/>
      <c r="Q372" s="153"/>
      <c r="R372" s="153"/>
      <c r="S372" s="154"/>
      <c r="T372" s="155"/>
      <c r="U372" s="155"/>
      <c r="V372" s="154"/>
      <c r="W372" s="154"/>
      <c r="X372" s="155"/>
      <c r="Y372" s="155"/>
      <c r="Z372" s="155"/>
    </row>
    <row r="373" spans="1:28" ht="55.5" customHeight="1" x14ac:dyDescent="0.2">
      <c r="A373" s="16"/>
      <c r="B373" s="86" t="s">
        <v>234</v>
      </c>
      <c r="C373" s="254" t="s">
        <v>233</v>
      </c>
      <c r="D373" s="255" t="s">
        <v>83</v>
      </c>
      <c r="E373" s="129" t="s">
        <v>83</v>
      </c>
      <c r="F373" s="129" t="s">
        <v>83</v>
      </c>
      <c r="G373" s="258" t="s">
        <v>84</v>
      </c>
      <c r="H373" s="130" t="s">
        <v>83</v>
      </c>
      <c r="I373" s="269"/>
      <c r="J373" s="265"/>
      <c r="K373" s="266"/>
      <c r="L373" s="261">
        <f t="shared" ref="L373:N375" si="156">L374</f>
        <v>0</v>
      </c>
      <c r="M373" s="261">
        <f t="shared" si="156"/>
        <v>0</v>
      </c>
      <c r="N373" s="261">
        <f t="shared" si="156"/>
        <v>0</v>
      </c>
      <c r="O373" s="261">
        <f t="shared" ref="O373:Z375" si="157">O374</f>
        <v>9150692.4800000004</v>
      </c>
      <c r="P373" s="261">
        <f t="shared" si="157"/>
        <v>0</v>
      </c>
      <c r="Q373" s="261">
        <f t="shared" si="157"/>
        <v>0</v>
      </c>
      <c r="R373" s="261">
        <f t="shared" si="157"/>
        <v>0</v>
      </c>
      <c r="S373" s="261">
        <f t="shared" si="157"/>
        <v>9150692.4800000004</v>
      </c>
      <c r="T373" s="261">
        <f t="shared" si="157"/>
        <v>5866041.7800000003</v>
      </c>
      <c r="U373" s="261">
        <f t="shared" si="157"/>
        <v>0</v>
      </c>
      <c r="V373" s="261">
        <f t="shared" si="157"/>
        <v>0</v>
      </c>
      <c r="W373" s="261">
        <f t="shared" si="157"/>
        <v>9150692.4800000004</v>
      </c>
      <c r="X373" s="261">
        <f t="shared" si="157"/>
        <v>5866041.7800000003</v>
      </c>
      <c r="Y373" s="261">
        <f t="shared" si="157"/>
        <v>0</v>
      </c>
      <c r="Z373" s="261">
        <f t="shared" si="157"/>
        <v>5866041.7800000003</v>
      </c>
    </row>
    <row r="374" spans="1:28" ht="24" customHeight="1" x14ac:dyDescent="0.2">
      <c r="A374" s="16"/>
      <c r="B374" s="147" t="s">
        <v>236</v>
      </c>
      <c r="C374" s="36" t="s">
        <v>233</v>
      </c>
      <c r="D374" s="14" t="s">
        <v>83</v>
      </c>
      <c r="E374" s="10" t="s">
        <v>83</v>
      </c>
      <c r="F374" s="10" t="s">
        <v>83</v>
      </c>
      <c r="G374" s="15" t="s">
        <v>235</v>
      </c>
      <c r="H374" s="11" t="s">
        <v>83</v>
      </c>
      <c r="I374" s="260"/>
      <c r="J374" s="12"/>
      <c r="K374" s="13"/>
      <c r="L374" s="104">
        <f t="shared" si="156"/>
        <v>0</v>
      </c>
      <c r="M374" s="104">
        <f t="shared" si="156"/>
        <v>0</v>
      </c>
      <c r="N374" s="104">
        <f t="shared" si="156"/>
        <v>0</v>
      </c>
      <c r="O374" s="104">
        <f t="shared" si="157"/>
        <v>9150692.4800000004</v>
      </c>
      <c r="P374" s="104">
        <f t="shared" si="157"/>
        <v>0</v>
      </c>
      <c r="Q374" s="104">
        <f t="shared" si="157"/>
        <v>0</v>
      </c>
      <c r="R374" s="104">
        <f t="shared" si="157"/>
        <v>0</v>
      </c>
      <c r="S374" s="104">
        <f t="shared" si="157"/>
        <v>9150692.4800000004</v>
      </c>
      <c r="T374" s="104">
        <f t="shared" si="157"/>
        <v>5866041.7800000003</v>
      </c>
      <c r="U374" s="104">
        <f t="shared" si="157"/>
        <v>0</v>
      </c>
      <c r="V374" s="104">
        <f t="shared" si="157"/>
        <v>0</v>
      </c>
      <c r="W374" s="104">
        <f t="shared" si="157"/>
        <v>9150692.4800000004</v>
      </c>
      <c r="X374" s="104">
        <f t="shared" si="157"/>
        <v>5866041.7800000003</v>
      </c>
      <c r="Y374" s="104">
        <f t="shared" si="157"/>
        <v>0</v>
      </c>
      <c r="Z374" s="104">
        <f t="shared" si="157"/>
        <v>5866041.7800000003</v>
      </c>
    </row>
    <row r="375" spans="1:28" ht="36.75" customHeight="1" x14ac:dyDescent="0.2">
      <c r="A375" s="16"/>
      <c r="B375" s="100" t="s">
        <v>42</v>
      </c>
      <c r="C375" s="36" t="s">
        <v>233</v>
      </c>
      <c r="D375" s="14" t="s">
        <v>83</v>
      </c>
      <c r="E375" s="10" t="s">
        <v>83</v>
      </c>
      <c r="F375" s="10" t="s">
        <v>83</v>
      </c>
      <c r="G375" s="15" t="s">
        <v>235</v>
      </c>
      <c r="H375" s="11" t="s">
        <v>83</v>
      </c>
      <c r="I375" s="260" t="s">
        <v>43</v>
      </c>
      <c r="J375" s="12"/>
      <c r="K375" s="13"/>
      <c r="L375" s="104">
        <f t="shared" si="156"/>
        <v>0</v>
      </c>
      <c r="M375" s="104">
        <f t="shared" si="156"/>
        <v>0</v>
      </c>
      <c r="N375" s="104">
        <f t="shared" si="156"/>
        <v>0</v>
      </c>
      <c r="O375" s="104">
        <f t="shared" si="157"/>
        <v>9150692.4800000004</v>
      </c>
      <c r="P375" s="104">
        <f t="shared" si="157"/>
        <v>0</v>
      </c>
      <c r="Q375" s="104">
        <f t="shared" si="157"/>
        <v>0</v>
      </c>
      <c r="R375" s="104">
        <f t="shared" si="157"/>
        <v>0</v>
      </c>
      <c r="S375" s="104">
        <f t="shared" si="157"/>
        <v>9150692.4800000004</v>
      </c>
      <c r="T375" s="104">
        <f t="shared" si="157"/>
        <v>5866041.7800000003</v>
      </c>
      <c r="U375" s="104">
        <f t="shared" si="157"/>
        <v>0</v>
      </c>
      <c r="V375" s="104">
        <f t="shared" si="157"/>
        <v>0</v>
      </c>
      <c r="W375" s="104">
        <f t="shared" si="157"/>
        <v>9150692.4800000004</v>
      </c>
      <c r="X375" s="104">
        <f t="shared" si="157"/>
        <v>5866041.7800000003</v>
      </c>
      <c r="Y375" s="104">
        <f t="shared" si="157"/>
        <v>0</v>
      </c>
      <c r="Z375" s="104">
        <f t="shared" si="157"/>
        <v>5866041.7800000003</v>
      </c>
    </row>
    <row r="376" spans="1:28" ht="36.75" customHeight="1" x14ac:dyDescent="0.2">
      <c r="A376" s="16"/>
      <c r="B376" s="100" t="s">
        <v>44</v>
      </c>
      <c r="C376" s="36" t="s">
        <v>233</v>
      </c>
      <c r="D376" s="14" t="s">
        <v>83</v>
      </c>
      <c r="E376" s="10" t="s">
        <v>83</v>
      </c>
      <c r="F376" s="10" t="s">
        <v>83</v>
      </c>
      <c r="G376" s="15" t="s">
        <v>235</v>
      </c>
      <c r="H376" s="11" t="s">
        <v>83</v>
      </c>
      <c r="I376" s="260" t="s">
        <v>45</v>
      </c>
      <c r="J376" s="12"/>
      <c r="K376" s="13"/>
      <c r="L376" s="104">
        <v>0</v>
      </c>
      <c r="M376" s="104">
        <v>0</v>
      </c>
      <c r="N376" s="104">
        <v>0</v>
      </c>
      <c r="O376" s="104">
        <f>9150692.48</f>
        <v>9150692.4800000004</v>
      </c>
      <c r="P376" s="104">
        <v>0</v>
      </c>
      <c r="Q376" s="104">
        <v>0</v>
      </c>
      <c r="R376" s="104">
        <v>0</v>
      </c>
      <c r="S376" s="104">
        <f>9150692.48</f>
        <v>9150692.4800000004</v>
      </c>
      <c r="T376" s="104">
        <f>5866041.78</f>
        <v>5866041.7800000003</v>
      </c>
      <c r="U376" s="104">
        <v>0</v>
      </c>
      <c r="V376" s="104">
        <v>0</v>
      </c>
      <c r="W376" s="104">
        <f>9150692.48</f>
        <v>9150692.4800000004</v>
      </c>
      <c r="X376" s="104">
        <f>5866041.78</f>
        <v>5866041.7800000003</v>
      </c>
      <c r="Y376" s="104">
        <v>0</v>
      </c>
      <c r="Z376" s="104">
        <f>5866041.78</f>
        <v>5866041.7800000003</v>
      </c>
    </row>
    <row r="377" spans="1:28" ht="6" customHeight="1" x14ac:dyDescent="0.2">
      <c r="A377" s="16"/>
      <c r="B377" s="169"/>
      <c r="C377" s="37"/>
      <c r="D377" s="38"/>
      <c r="E377" s="26"/>
      <c r="F377" s="26"/>
      <c r="G377" s="27"/>
      <c r="H377" s="28"/>
      <c r="I377" s="187"/>
      <c r="J377" s="29"/>
      <c r="K377" s="29"/>
      <c r="L377" s="215"/>
      <c r="M377" s="215"/>
      <c r="N377" s="215"/>
      <c r="O377" s="216"/>
      <c r="P377" s="216"/>
      <c r="Q377" s="215"/>
      <c r="R377" s="215"/>
      <c r="S377" s="216"/>
      <c r="T377" s="217"/>
      <c r="U377" s="217"/>
      <c r="V377" s="216"/>
      <c r="W377" s="216"/>
      <c r="X377" s="217"/>
      <c r="Y377" s="217"/>
      <c r="Z377" s="217"/>
    </row>
    <row r="378" spans="1:28" ht="45.75" customHeight="1" x14ac:dyDescent="0.2">
      <c r="A378" s="16"/>
      <c r="B378" s="86" t="s">
        <v>243</v>
      </c>
      <c r="C378" s="254" t="s">
        <v>242</v>
      </c>
      <c r="D378" s="255" t="s">
        <v>83</v>
      </c>
      <c r="E378" s="129" t="s">
        <v>83</v>
      </c>
      <c r="F378" s="129" t="s">
        <v>83</v>
      </c>
      <c r="G378" s="258" t="s">
        <v>84</v>
      </c>
      <c r="H378" s="130" t="s">
        <v>83</v>
      </c>
      <c r="I378" s="269"/>
      <c r="J378" s="265"/>
      <c r="K378" s="266"/>
      <c r="L378" s="261">
        <f t="shared" ref="L378:N380" si="158">L379</f>
        <v>0</v>
      </c>
      <c r="M378" s="261">
        <f t="shared" si="158"/>
        <v>0</v>
      </c>
      <c r="N378" s="261">
        <f>N379+N382</f>
        <v>0</v>
      </c>
      <c r="O378" s="261">
        <f t="shared" ref="O378:Z378" si="159">O379+O382</f>
        <v>2240000</v>
      </c>
      <c r="P378" s="261">
        <f t="shared" si="159"/>
        <v>0</v>
      </c>
      <c r="Q378" s="261">
        <f>Q379+Q382</f>
        <v>5280000</v>
      </c>
      <c r="R378" s="261">
        <f t="shared" si="159"/>
        <v>5280000</v>
      </c>
      <c r="S378" s="261">
        <f t="shared" si="159"/>
        <v>1120000</v>
      </c>
      <c r="T378" s="261">
        <f t="shared" si="159"/>
        <v>440000</v>
      </c>
      <c r="U378" s="261">
        <f t="shared" si="159"/>
        <v>0</v>
      </c>
      <c r="V378" s="261">
        <f t="shared" si="159"/>
        <v>0</v>
      </c>
      <c r="W378" s="261">
        <f t="shared" si="159"/>
        <v>1120000</v>
      </c>
      <c r="X378" s="261">
        <f t="shared" si="159"/>
        <v>220000</v>
      </c>
      <c r="Y378" s="261">
        <f t="shared" si="159"/>
        <v>0</v>
      </c>
      <c r="Z378" s="261">
        <f t="shared" si="159"/>
        <v>220000</v>
      </c>
      <c r="AA378" s="265"/>
      <c r="AB378" s="249"/>
    </row>
    <row r="379" spans="1:28" ht="27" customHeight="1" x14ac:dyDescent="0.2">
      <c r="A379" s="16"/>
      <c r="B379" s="147" t="s">
        <v>10</v>
      </c>
      <c r="C379" s="36" t="s">
        <v>242</v>
      </c>
      <c r="D379" s="14" t="s">
        <v>83</v>
      </c>
      <c r="E379" s="10" t="s">
        <v>83</v>
      </c>
      <c r="F379" s="10" t="s">
        <v>83</v>
      </c>
      <c r="G379" s="15" t="s">
        <v>12</v>
      </c>
      <c r="H379" s="11" t="s">
        <v>83</v>
      </c>
      <c r="I379" s="260"/>
      <c r="J379" s="12"/>
      <c r="K379" s="13"/>
      <c r="L379" s="104">
        <f t="shared" si="158"/>
        <v>0</v>
      </c>
      <c r="M379" s="104">
        <f t="shared" si="158"/>
        <v>0</v>
      </c>
      <c r="N379" s="104">
        <f t="shared" si="158"/>
        <v>0</v>
      </c>
      <c r="O379" s="104">
        <f t="shared" ref="O379:Z380" si="160">O380</f>
        <v>1120000</v>
      </c>
      <c r="P379" s="104">
        <f t="shared" si="160"/>
        <v>0</v>
      </c>
      <c r="Q379" s="104">
        <f t="shared" si="160"/>
        <v>0</v>
      </c>
      <c r="R379" s="104">
        <f t="shared" si="160"/>
        <v>0</v>
      </c>
      <c r="S379" s="104">
        <f t="shared" si="160"/>
        <v>1120000</v>
      </c>
      <c r="T379" s="104">
        <f t="shared" si="160"/>
        <v>220000</v>
      </c>
      <c r="U379" s="104">
        <f t="shared" si="160"/>
        <v>0</v>
      </c>
      <c r="V379" s="104">
        <f t="shared" si="160"/>
        <v>0</v>
      </c>
      <c r="W379" s="104">
        <f t="shared" si="160"/>
        <v>1120000</v>
      </c>
      <c r="X379" s="104">
        <f t="shared" si="160"/>
        <v>220000</v>
      </c>
      <c r="Y379" s="104">
        <f t="shared" si="160"/>
        <v>0</v>
      </c>
      <c r="Z379" s="104">
        <f t="shared" si="160"/>
        <v>220000</v>
      </c>
    </row>
    <row r="380" spans="1:28" ht="36.75" customHeight="1" x14ac:dyDescent="0.2">
      <c r="A380" s="16"/>
      <c r="B380" s="100" t="s">
        <v>42</v>
      </c>
      <c r="C380" s="36" t="s">
        <v>242</v>
      </c>
      <c r="D380" s="14" t="s">
        <v>83</v>
      </c>
      <c r="E380" s="10" t="s">
        <v>83</v>
      </c>
      <c r="F380" s="10" t="s">
        <v>83</v>
      </c>
      <c r="G380" s="15" t="s">
        <v>12</v>
      </c>
      <c r="H380" s="11" t="s">
        <v>83</v>
      </c>
      <c r="I380" s="260" t="s">
        <v>43</v>
      </c>
      <c r="J380" s="12"/>
      <c r="K380" s="13"/>
      <c r="L380" s="104">
        <f t="shared" si="158"/>
        <v>0</v>
      </c>
      <c r="M380" s="104">
        <f t="shared" si="158"/>
        <v>0</v>
      </c>
      <c r="N380" s="104">
        <f t="shared" si="158"/>
        <v>0</v>
      </c>
      <c r="O380" s="104">
        <f t="shared" si="160"/>
        <v>1120000</v>
      </c>
      <c r="P380" s="104">
        <f t="shared" si="160"/>
        <v>0</v>
      </c>
      <c r="Q380" s="104">
        <f t="shared" si="160"/>
        <v>0</v>
      </c>
      <c r="R380" s="104">
        <f t="shared" si="160"/>
        <v>0</v>
      </c>
      <c r="S380" s="104">
        <f t="shared" si="160"/>
        <v>1120000</v>
      </c>
      <c r="T380" s="104">
        <f t="shared" si="160"/>
        <v>220000</v>
      </c>
      <c r="U380" s="104">
        <f t="shared" si="160"/>
        <v>0</v>
      </c>
      <c r="V380" s="104">
        <f t="shared" si="160"/>
        <v>0</v>
      </c>
      <c r="W380" s="104">
        <f t="shared" si="160"/>
        <v>1120000</v>
      </c>
      <c r="X380" s="104">
        <f t="shared" si="160"/>
        <v>220000</v>
      </c>
      <c r="Y380" s="104">
        <f t="shared" si="160"/>
        <v>0</v>
      </c>
      <c r="Z380" s="104">
        <f t="shared" si="160"/>
        <v>220000</v>
      </c>
    </row>
    <row r="381" spans="1:28" ht="36.75" customHeight="1" x14ac:dyDescent="0.2">
      <c r="A381" s="16"/>
      <c r="B381" s="100" t="s">
        <v>44</v>
      </c>
      <c r="C381" s="36" t="s">
        <v>242</v>
      </c>
      <c r="D381" s="14" t="s">
        <v>83</v>
      </c>
      <c r="E381" s="10" t="s">
        <v>83</v>
      </c>
      <c r="F381" s="10" t="s">
        <v>83</v>
      </c>
      <c r="G381" s="15" t="s">
        <v>12</v>
      </c>
      <c r="H381" s="11" t="s">
        <v>83</v>
      </c>
      <c r="I381" s="260" t="s">
        <v>45</v>
      </c>
      <c r="J381" s="12"/>
      <c r="K381" s="13"/>
      <c r="L381" s="112">
        <v>0</v>
      </c>
      <c r="M381" s="112">
        <v>0</v>
      </c>
      <c r="N381" s="112">
        <v>0</v>
      </c>
      <c r="O381" s="112">
        <v>1120000</v>
      </c>
      <c r="P381" s="112">
        <v>0</v>
      </c>
      <c r="Q381" s="112">
        <v>0</v>
      </c>
      <c r="R381" s="112">
        <v>0</v>
      </c>
      <c r="S381" s="112">
        <v>1120000</v>
      </c>
      <c r="T381" s="112">
        <v>220000</v>
      </c>
      <c r="U381" s="112">
        <v>0</v>
      </c>
      <c r="V381" s="112">
        <v>0</v>
      </c>
      <c r="W381" s="112">
        <v>1120000</v>
      </c>
      <c r="X381" s="112">
        <v>220000</v>
      </c>
      <c r="Y381" s="112">
        <v>0</v>
      </c>
      <c r="Z381" s="112">
        <v>220000</v>
      </c>
    </row>
    <row r="382" spans="1:28" ht="54" customHeight="1" x14ac:dyDescent="0.2">
      <c r="A382" s="16"/>
      <c r="B382" s="100" t="s">
        <v>244</v>
      </c>
      <c r="C382" s="20" t="s">
        <v>242</v>
      </c>
      <c r="D382" s="21" t="s">
        <v>83</v>
      </c>
      <c r="E382" s="10" t="s">
        <v>83</v>
      </c>
      <c r="F382" s="10" t="s">
        <v>83</v>
      </c>
      <c r="G382" s="16" t="s">
        <v>274</v>
      </c>
      <c r="H382" s="11" t="s">
        <v>83</v>
      </c>
      <c r="I382" s="260"/>
      <c r="J382" s="8" t="e">
        <f>J383+#REF!</f>
        <v>#REF!</v>
      </c>
      <c r="K382" s="9" t="e">
        <f>K383+#REF!</f>
        <v>#REF!</v>
      </c>
      <c r="L382" s="112">
        <f t="shared" ref="J382:Z383" si="161">L383</f>
        <v>0</v>
      </c>
      <c r="M382" s="112">
        <f t="shared" si="161"/>
        <v>0</v>
      </c>
      <c r="N382" s="112">
        <f t="shared" si="161"/>
        <v>0</v>
      </c>
      <c r="O382" s="111">
        <f t="shared" si="161"/>
        <v>1120000</v>
      </c>
      <c r="P382" s="112">
        <f t="shared" si="161"/>
        <v>0</v>
      </c>
      <c r="Q382" s="112">
        <f t="shared" si="161"/>
        <v>5280000</v>
      </c>
      <c r="R382" s="112">
        <f t="shared" si="161"/>
        <v>5280000</v>
      </c>
      <c r="S382" s="113">
        <f t="shared" si="161"/>
        <v>0</v>
      </c>
      <c r="T382" s="112">
        <f t="shared" si="161"/>
        <v>220000</v>
      </c>
      <c r="U382" s="111">
        <f t="shared" si="161"/>
        <v>0</v>
      </c>
      <c r="V382" s="112">
        <f t="shared" si="161"/>
        <v>0</v>
      </c>
      <c r="W382" s="113">
        <f t="shared" si="161"/>
        <v>0</v>
      </c>
      <c r="X382" s="112">
        <f t="shared" si="161"/>
        <v>0</v>
      </c>
      <c r="Y382" s="112">
        <f t="shared" si="161"/>
        <v>0</v>
      </c>
      <c r="Z382" s="112">
        <f t="shared" si="161"/>
        <v>0</v>
      </c>
    </row>
    <row r="383" spans="1:28" ht="36.75" customHeight="1" x14ac:dyDescent="0.2">
      <c r="A383" s="16"/>
      <c r="B383" s="100" t="s">
        <v>42</v>
      </c>
      <c r="C383" s="20" t="s">
        <v>242</v>
      </c>
      <c r="D383" s="21" t="s">
        <v>83</v>
      </c>
      <c r="E383" s="10" t="s">
        <v>83</v>
      </c>
      <c r="F383" s="10" t="s">
        <v>83</v>
      </c>
      <c r="G383" s="16" t="s">
        <v>274</v>
      </c>
      <c r="H383" s="11" t="s">
        <v>83</v>
      </c>
      <c r="I383" s="260" t="s">
        <v>43</v>
      </c>
      <c r="J383" s="8">
        <f t="shared" si="161"/>
        <v>60000</v>
      </c>
      <c r="K383" s="9">
        <f t="shared" si="161"/>
        <v>0</v>
      </c>
      <c r="L383" s="112">
        <f t="shared" si="161"/>
        <v>0</v>
      </c>
      <c r="M383" s="112">
        <f t="shared" si="161"/>
        <v>0</v>
      </c>
      <c r="N383" s="112">
        <f t="shared" si="161"/>
        <v>0</v>
      </c>
      <c r="O383" s="111">
        <f t="shared" si="161"/>
        <v>1120000</v>
      </c>
      <c r="P383" s="112">
        <f t="shared" si="161"/>
        <v>0</v>
      </c>
      <c r="Q383" s="112">
        <f t="shared" si="161"/>
        <v>5280000</v>
      </c>
      <c r="R383" s="112">
        <f t="shared" si="161"/>
        <v>5280000</v>
      </c>
      <c r="S383" s="113">
        <f t="shared" si="161"/>
        <v>0</v>
      </c>
      <c r="T383" s="112">
        <f t="shared" si="161"/>
        <v>220000</v>
      </c>
      <c r="U383" s="111">
        <f t="shared" si="161"/>
        <v>0</v>
      </c>
      <c r="V383" s="112">
        <f t="shared" si="161"/>
        <v>0</v>
      </c>
      <c r="W383" s="113">
        <f t="shared" si="161"/>
        <v>0</v>
      </c>
      <c r="X383" s="112">
        <f t="shared" si="161"/>
        <v>0</v>
      </c>
      <c r="Y383" s="112">
        <f t="shared" si="161"/>
        <v>0</v>
      </c>
      <c r="Z383" s="112">
        <f t="shared" si="161"/>
        <v>0</v>
      </c>
    </row>
    <row r="384" spans="1:28" ht="36.75" customHeight="1" x14ac:dyDescent="0.2">
      <c r="A384" s="16"/>
      <c r="B384" s="100" t="s">
        <v>44</v>
      </c>
      <c r="C384" s="20" t="s">
        <v>242</v>
      </c>
      <c r="D384" s="21" t="s">
        <v>83</v>
      </c>
      <c r="E384" s="10" t="s">
        <v>83</v>
      </c>
      <c r="F384" s="10" t="s">
        <v>83</v>
      </c>
      <c r="G384" s="16" t="s">
        <v>274</v>
      </c>
      <c r="H384" s="11" t="s">
        <v>83</v>
      </c>
      <c r="I384" s="260" t="s">
        <v>45</v>
      </c>
      <c r="J384" s="8">
        <v>60000</v>
      </c>
      <c r="K384" s="9">
        <v>0</v>
      </c>
      <c r="L384" s="112">
        <v>0</v>
      </c>
      <c r="M384" s="112">
        <v>0</v>
      </c>
      <c r="N384" s="112">
        <v>0</v>
      </c>
      <c r="O384" s="111">
        <v>1120000</v>
      </c>
      <c r="P384" s="112">
        <v>0</v>
      </c>
      <c r="Q384" s="112">
        <v>5280000</v>
      </c>
      <c r="R384" s="112">
        <f>Q384</f>
        <v>5280000</v>
      </c>
      <c r="S384" s="113">
        <v>0</v>
      </c>
      <c r="T384" s="112">
        <v>220000</v>
      </c>
      <c r="U384" s="111">
        <v>0</v>
      </c>
      <c r="V384" s="112">
        <v>0</v>
      </c>
      <c r="W384" s="113">
        <v>0</v>
      </c>
      <c r="X384" s="112">
        <v>0</v>
      </c>
      <c r="Y384" s="112">
        <v>0</v>
      </c>
      <c r="Z384" s="112">
        <v>0</v>
      </c>
    </row>
    <row r="385" spans="1:26" ht="9" customHeight="1" x14ac:dyDescent="0.2">
      <c r="A385" s="16"/>
      <c r="B385" s="169"/>
      <c r="C385" s="37"/>
      <c r="D385" s="38"/>
      <c r="E385" s="26"/>
      <c r="F385" s="26"/>
      <c r="G385" s="27"/>
      <c r="H385" s="28"/>
      <c r="I385" s="187"/>
      <c r="J385" s="29"/>
      <c r="K385" s="29"/>
      <c r="L385" s="215"/>
      <c r="M385" s="215"/>
      <c r="N385" s="215"/>
      <c r="O385" s="216"/>
      <c r="P385" s="216"/>
      <c r="Q385" s="215"/>
      <c r="R385" s="215"/>
      <c r="S385" s="216"/>
      <c r="T385" s="217"/>
      <c r="U385" s="217"/>
      <c r="V385" s="216"/>
      <c r="W385" s="216"/>
      <c r="X385" s="217"/>
      <c r="Y385" s="217"/>
      <c r="Z385" s="217"/>
    </row>
    <row r="386" spans="1:26" ht="61.5" customHeight="1" x14ac:dyDescent="0.2">
      <c r="A386" s="16"/>
      <c r="B386" s="86" t="s">
        <v>259</v>
      </c>
      <c r="C386" s="267" t="s">
        <v>245</v>
      </c>
      <c r="D386" s="272" t="s">
        <v>83</v>
      </c>
      <c r="E386" s="129" t="s">
        <v>83</v>
      </c>
      <c r="F386" s="129" t="s">
        <v>83</v>
      </c>
      <c r="G386" s="272" t="s">
        <v>84</v>
      </c>
      <c r="H386" s="130" t="s">
        <v>83</v>
      </c>
      <c r="I386" s="179"/>
      <c r="J386" s="7"/>
      <c r="K386" s="3"/>
      <c r="L386" s="270">
        <f t="shared" ref="L386:X386" si="162">L390+L393+L387</f>
        <v>4780650</v>
      </c>
      <c r="M386" s="270">
        <f t="shared" si="162"/>
        <v>0</v>
      </c>
      <c r="N386" s="270">
        <f t="shared" si="162"/>
        <v>4780650</v>
      </c>
      <c r="O386" s="270">
        <f t="shared" si="162"/>
        <v>197500</v>
      </c>
      <c r="P386" s="270">
        <f t="shared" si="162"/>
        <v>0</v>
      </c>
      <c r="Q386" s="270">
        <f>Q390+Q393+Q387</f>
        <v>0</v>
      </c>
      <c r="R386" s="270">
        <f>R390+R393+R387</f>
        <v>4780650</v>
      </c>
      <c r="S386" s="270">
        <f t="shared" si="162"/>
        <v>197500</v>
      </c>
      <c r="T386" s="270">
        <f t="shared" si="162"/>
        <v>162000</v>
      </c>
      <c r="U386" s="270">
        <f t="shared" si="162"/>
        <v>0</v>
      </c>
      <c r="V386" s="270">
        <f>V390+V393+V387</f>
        <v>0</v>
      </c>
      <c r="W386" s="270">
        <f>W390+W393+W387</f>
        <v>197500</v>
      </c>
      <c r="X386" s="270">
        <f t="shared" si="162"/>
        <v>162000</v>
      </c>
      <c r="Y386" s="270">
        <f>Y390+Y393+Y387</f>
        <v>0</v>
      </c>
      <c r="Z386" s="270">
        <f>Z390+Z393+Z387</f>
        <v>162000</v>
      </c>
    </row>
    <row r="387" spans="1:26" ht="29.25" customHeight="1" x14ac:dyDescent="0.2">
      <c r="A387" s="16"/>
      <c r="B387" s="147" t="s">
        <v>29</v>
      </c>
      <c r="C387" s="34" t="s">
        <v>245</v>
      </c>
      <c r="D387" s="10" t="s">
        <v>83</v>
      </c>
      <c r="E387" s="10" t="s">
        <v>83</v>
      </c>
      <c r="F387" s="10" t="s">
        <v>83</v>
      </c>
      <c r="G387" s="10" t="s">
        <v>27</v>
      </c>
      <c r="H387" s="11" t="s">
        <v>83</v>
      </c>
      <c r="I387" s="198"/>
      <c r="J387" s="32"/>
      <c r="K387" s="33"/>
      <c r="L387" s="137">
        <f t="shared" ref="L387:Z388" si="163">L388</f>
        <v>0</v>
      </c>
      <c r="M387" s="137">
        <f t="shared" si="163"/>
        <v>0</v>
      </c>
      <c r="N387" s="137">
        <f t="shared" si="163"/>
        <v>0</v>
      </c>
      <c r="O387" s="137">
        <f t="shared" si="163"/>
        <v>197500</v>
      </c>
      <c r="P387" s="137">
        <f t="shared" si="163"/>
        <v>0</v>
      </c>
      <c r="Q387" s="137">
        <f t="shared" si="163"/>
        <v>0</v>
      </c>
      <c r="R387" s="137">
        <f t="shared" si="163"/>
        <v>0</v>
      </c>
      <c r="S387" s="137">
        <f t="shared" si="163"/>
        <v>197500</v>
      </c>
      <c r="T387" s="137">
        <f t="shared" si="163"/>
        <v>162000</v>
      </c>
      <c r="U387" s="137">
        <f t="shared" si="163"/>
        <v>0</v>
      </c>
      <c r="V387" s="137">
        <f t="shared" si="163"/>
        <v>0</v>
      </c>
      <c r="W387" s="137">
        <f t="shared" si="163"/>
        <v>197500</v>
      </c>
      <c r="X387" s="137">
        <f t="shared" si="163"/>
        <v>162000</v>
      </c>
      <c r="Y387" s="137">
        <f t="shared" si="163"/>
        <v>0</v>
      </c>
      <c r="Z387" s="137">
        <f t="shared" si="163"/>
        <v>162000</v>
      </c>
    </row>
    <row r="388" spans="1:26" ht="36.75" customHeight="1" x14ac:dyDescent="0.2">
      <c r="A388" s="16"/>
      <c r="B388" s="100" t="s">
        <v>42</v>
      </c>
      <c r="C388" s="34" t="s">
        <v>245</v>
      </c>
      <c r="D388" s="10" t="s">
        <v>83</v>
      </c>
      <c r="E388" s="10" t="s">
        <v>83</v>
      </c>
      <c r="F388" s="10" t="s">
        <v>83</v>
      </c>
      <c r="G388" s="10" t="s">
        <v>27</v>
      </c>
      <c r="H388" s="11" t="s">
        <v>83</v>
      </c>
      <c r="I388" s="198" t="s">
        <v>43</v>
      </c>
      <c r="J388" s="32"/>
      <c r="K388" s="33"/>
      <c r="L388" s="137">
        <f t="shared" si="163"/>
        <v>0</v>
      </c>
      <c r="M388" s="137">
        <f t="shared" si="163"/>
        <v>0</v>
      </c>
      <c r="N388" s="137">
        <f t="shared" si="163"/>
        <v>0</v>
      </c>
      <c r="O388" s="137">
        <f t="shared" si="163"/>
        <v>197500</v>
      </c>
      <c r="P388" s="137">
        <f t="shared" si="163"/>
        <v>0</v>
      </c>
      <c r="Q388" s="137">
        <f t="shared" si="163"/>
        <v>0</v>
      </c>
      <c r="R388" s="137">
        <f t="shared" si="163"/>
        <v>0</v>
      </c>
      <c r="S388" s="137">
        <f t="shared" si="163"/>
        <v>197500</v>
      </c>
      <c r="T388" s="137">
        <f t="shared" si="163"/>
        <v>162000</v>
      </c>
      <c r="U388" s="137">
        <f t="shared" si="163"/>
        <v>0</v>
      </c>
      <c r="V388" s="137">
        <f t="shared" si="163"/>
        <v>0</v>
      </c>
      <c r="W388" s="137">
        <f t="shared" si="163"/>
        <v>197500</v>
      </c>
      <c r="X388" s="137">
        <f t="shared" si="163"/>
        <v>162000</v>
      </c>
      <c r="Y388" s="137">
        <f t="shared" si="163"/>
        <v>0</v>
      </c>
      <c r="Z388" s="137">
        <f t="shared" si="163"/>
        <v>162000</v>
      </c>
    </row>
    <row r="389" spans="1:26" ht="36.75" customHeight="1" x14ac:dyDescent="0.2">
      <c r="A389" s="16"/>
      <c r="B389" s="100" t="s">
        <v>44</v>
      </c>
      <c r="C389" s="34" t="s">
        <v>245</v>
      </c>
      <c r="D389" s="10" t="s">
        <v>83</v>
      </c>
      <c r="E389" s="10" t="s">
        <v>83</v>
      </c>
      <c r="F389" s="10" t="s">
        <v>83</v>
      </c>
      <c r="G389" s="10" t="s">
        <v>27</v>
      </c>
      <c r="H389" s="11" t="s">
        <v>83</v>
      </c>
      <c r="I389" s="198" t="s">
        <v>45</v>
      </c>
      <c r="J389" s="32"/>
      <c r="K389" s="33"/>
      <c r="L389" s="137">
        <v>0</v>
      </c>
      <c r="M389" s="137">
        <v>0</v>
      </c>
      <c r="N389" s="137">
        <v>0</v>
      </c>
      <c r="O389" s="137">
        <v>197500</v>
      </c>
      <c r="P389" s="137">
        <v>0</v>
      </c>
      <c r="Q389" s="137">
        <v>0</v>
      </c>
      <c r="R389" s="137">
        <v>0</v>
      </c>
      <c r="S389" s="137">
        <v>197500</v>
      </c>
      <c r="T389" s="137">
        <v>162000</v>
      </c>
      <c r="U389" s="137">
        <v>0</v>
      </c>
      <c r="V389" s="137">
        <v>0</v>
      </c>
      <c r="W389" s="137">
        <v>197500</v>
      </c>
      <c r="X389" s="137">
        <v>162000</v>
      </c>
      <c r="Y389" s="137">
        <v>0</v>
      </c>
      <c r="Z389" s="137">
        <v>162000</v>
      </c>
    </row>
    <row r="390" spans="1:26" ht="91.5" customHeight="1" x14ac:dyDescent="0.2">
      <c r="A390" s="16"/>
      <c r="B390" s="147" t="s">
        <v>213</v>
      </c>
      <c r="C390" s="34" t="s">
        <v>245</v>
      </c>
      <c r="D390" s="10" t="s">
        <v>83</v>
      </c>
      <c r="E390" s="10" t="s">
        <v>83</v>
      </c>
      <c r="F390" s="10" t="s">
        <v>83</v>
      </c>
      <c r="G390" s="10" t="s">
        <v>219</v>
      </c>
      <c r="H390" s="11" t="s">
        <v>83</v>
      </c>
      <c r="I390" s="198"/>
      <c r="J390" s="32"/>
      <c r="K390" s="33"/>
      <c r="L390" s="137">
        <f t="shared" ref="L390:Z391" si="164">L391</f>
        <v>2580650</v>
      </c>
      <c r="M390" s="137">
        <f t="shared" si="164"/>
        <v>0</v>
      </c>
      <c r="N390" s="137">
        <f t="shared" si="164"/>
        <v>2580650</v>
      </c>
      <c r="O390" s="137">
        <f t="shared" si="164"/>
        <v>0</v>
      </c>
      <c r="P390" s="137">
        <f t="shared" si="164"/>
        <v>0</v>
      </c>
      <c r="Q390" s="137">
        <f t="shared" si="164"/>
        <v>0</v>
      </c>
      <c r="R390" s="137">
        <f t="shared" si="164"/>
        <v>2580650</v>
      </c>
      <c r="S390" s="137">
        <f t="shared" si="164"/>
        <v>0</v>
      </c>
      <c r="T390" s="137">
        <f t="shared" si="164"/>
        <v>0</v>
      </c>
      <c r="U390" s="137">
        <f t="shared" si="164"/>
        <v>0</v>
      </c>
      <c r="V390" s="137">
        <f t="shared" si="164"/>
        <v>0</v>
      </c>
      <c r="W390" s="137">
        <f t="shared" si="164"/>
        <v>0</v>
      </c>
      <c r="X390" s="137">
        <f t="shared" si="164"/>
        <v>0</v>
      </c>
      <c r="Y390" s="137">
        <f t="shared" si="164"/>
        <v>0</v>
      </c>
      <c r="Z390" s="137">
        <f t="shared" si="164"/>
        <v>0</v>
      </c>
    </row>
    <row r="391" spans="1:26" ht="26.25" customHeight="1" x14ac:dyDescent="0.2">
      <c r="A391" s="16"/>
      <c r="B391" s="100" t="s">
        <v>46</v>
      </c>
      <c r="C391" s="34" t="s">
        <v>245</v>
      </c>
      <c r="D391" s="10" t="s">
        <v>83</v>
      </c>
      <c r="E391" s="10" t="s">
        <v>83</v>
      </c>
      <c r="F391" s="10" t="s">
        <v>83</v>
      </c>
      <c r="G391" s="10" t="s">
        <v>219</v>
      </c>
      <c r="H391" s="11" t="s">
        <v>83</v>
      </c>
      <c r="I391" s="198" t="s">
        <v>47</v>
      </c>
      <c r="J391" s="32"/>
      <c r="K391" s="33"/>
      <c r="L391" s="137">
        <f t="shared" si="164"/>
        <v>2580650</v>
      </c>
      <c r="M391" s="137">
        <f t="shared" si="164"/>
        <v>0</v>
      </c>
      <c r="N391" s="137">
        <f t="shared" si="164"/>
        <v>2580650</v>
      </c>
      <c r="O391" s="137">
        <f t="shared" si="164"/>
        <v>0</v>
      </c>
      <c r="P391" s="137">
        <f t="shared" si="164"/>
        <v>0</v>
      </c>
      <c r="Q391" s="137">
        <f t="shared" si="164"/>
        <v>0</v>
      </c>
      <c r="R391" s="137">
        <f t="shared" si="164"/>
        <v>2580650</v>
      </c>
      <c r="S391" s="137">
        <f t="shared" si="164"/>
        <v>0</v>
      </c>
      <c r="T391" s="137">
        <f t="shared" si="164"/>
        <v>0</v>
      </c>
      <c r="U391" s="137">
        <f t="shared" si="164"/>
        <v>0</v>
      </c>
      <c r="V391" s="137">
        <f t="shared" si="164"/>
        <v>0</v>
      </c>
      <c r="W391" s="137">
        <f t="shared" si="164"/>
        <v>0</v>
      </c>
      <c r="X391" s="137">
        <f t="shared" si="164"/>
        <v>0</v>
      </c>
      <c r="Y391" s="137">
        <f t="shared" si="164"/>
        <v>0</v>
      </c>
      <c r="Z391" s="137">
        <f t="shared" si="164"/>
        <v>0</v>
      </c>
    </row>
    <row r="392" spans="1:26" ht="36.75" customHeight="1" x14ac:dyDescent="0.2">
      <c r="A392" s="16"/>
      <c r="B392" s="100" t="s">
        <v>48</v>
      </c>
      <c r="C392" s="34" t="s">
        <v>245</v>
      </c>
      <c r="D392" s="10" t="s">
        <v>83</v>
      </c>
      <c r="E392" s="10" t="s">
        <v>83</v>
      </c>
      <c r="F392" s="10" t="s">
        <v>83</v>
      </c>
      <c r="G392" s="10" t="s">
        <v>219</v>
      </c>
      <c r="H392" s="11" t="s">
        <v>83</v>
      </c>
      <c r="I392" s="198" t="s">
        <v>49</v>
      </c>
      <c r="J392" s="32"/>
      <c r="K392" s="33"/>
      <c r="L392" s="137">
        <f>2400000+180650</f>
        <v>2580650</v>
      </c>
      <c r="M392" s="137">
        <v>0</v>
      </c>
      <c r="N392" s="137">
        <f>2400000+180650</f>
        <v>2580650</v>
      </c>
      <c r="O392" s="137">
        <v>0</v>
      </c>
      <c r="P392" s="137">
        <v>0</v>
      </c>
      <c r="Q392" s="137">
        <v>0</v>
      </c>
      <c r="R392" s="137">
        <f>2400000+180650</f>
        <v>2580650</v>
      </c>
      <c r="S392" s="137">
        <v>0</v>
      </c>
      <c r="T392" s="137">
        <v>0</v>
      </c>
      <c r="U392" s="137">
        <v>0</v>
      </c>
      <c r="V392" s="137">
        <v>0</v>
      </c>
      <c r="W392" s="137">
        <v>0</v>
      </c>
      <c r="X392" s="137">
        <v>0</v>
      </c>
      <c r="Y392" s="137">
        <v>0</v>
      </c>
      <c r="Z392" s="137">
        <v>0</v>
      </c>
    </row>
    <row r="393" spans="1:26" ht="77.25" customHeight="1" x14ac:dyDescent="0.2">
      <c r="A393" s="16"/>
      <c r="B393" s="147" t="s">
        <v>212</v>
      </c>
      <c r="C393" s="34" t="s">
        <v>245</v>
      </c>
      <c r="D393" s="10" t="s">
        <v>83</v>
      </c>
      <c r="E393" s="10" t="s">
        <v>83</v>
      </c>
      <c r="F393" s="10" t="s">
        <v>83</v>
      </c>
      <c r="G393" s="10" t="s">
        <v>211</v>
      </c>
      <c r="H393" s="11" t="s">
        <v>83</v>
      </c>
      <c r="I393" s="198"/>
      <c r="J393" s="32"/>
      <c r="K393" s="33"/>
      <c r="L393" s="137">
        <f t="shared" ref="L393:Z394" si="165">L394</f>
        <v>2200000</v>
      </c>
      <c r="M393" s="137">
        <f t="shared" si="165"/>
        <v>0</v>
      </c>
      <c r="N393" s="137">
        <f t="shared" si="165"/>
        <v>2200000</v>
      </c>
      <c r="O393" s="137">
        <f t="shared" si="165"/>
        <v>0</v>
      </c>
      <c r="P393" s="137">
        <f t="shared" si="165"/>
        <v>0</v>
      </c>
      <c r="Q393" s="137">
        <f t="shared" si="165"/>
        <v>0</v>
      </c>
      <c r="R393" s="137">
        <f t="shared" si="165"/>
        <v>2200000</v>
      </c>
      <c r="S393" s="137">
        <f t="shared" si="165"/>
        <v>0</v>
      </c>
      <c r="T393" s="137">
        <f t="shared" si="165"/>
        <v>0</v>
      </c>
      <c r="U393" s="137">
        <f t="shared" si="165"/>
        <v>0</v>
      </c>
      <c r="V393" s="137">
        <f t="shared" si="165"/>
        <v>0</v>
      </c>
      <c r="W393" s="137">
        <f t="shared" si="165"/>
        <v>0</v>
      </c>
      <c r="X393" s="137">
        <f t="shared" si="165"/>
        <v>0</v>
      </c>
      <c r="Y393" s="137">
        <f t="shared" si="165"/>
        <v>0</v>
      </c>
      <c r="Z393" s="137">
        <f t="shared" si="165"/>
        <v>0</v>
      </c>
    </row>
    <row r="394" spans="1:26" ht="36.75" customHeight="1" x14ac:dyDescent="0.2">
      <c r="A394" s="16"/>
      <c r="B394" s="100" t="s">
        <v>46</v>
      </c>
      <c r="C394" s="34" t="s">
        <v>245</v>
      </c>
      <c r="D394" s="10" t="s">
        <v>83</v>
      </c>
      <c r="E394" s="10" t="s">
        <v>83</v>
      </c>
      <c r="F394" s="10" t="s">
        <v>83</v>
      </c>
      <c r="G394" s="10" t="s">
        <v>211</v>
      </c>
      <c r="H394" s="11" t="s">
        <v>83</v>
      </c>
      <c r="I394" s="198" t="s">
        <v>47</v>
      </c>
      <c r="J394" s="32"/>
      <c r="K394" s="33"/>
      <c r="L394" s="137">
        <f t="shared" si="165"/>
        <v>2200000</v>
      </c>
      <c r="M394" s="137">
        <f t="shared" si="165"/>
        <v>0</v>
      </c>
      <c r="N394" s="137">
        <f t="shared" si="165"/>
        <v>2200000</v>
      </c>
      <c r="O394" s="137">
        <f t="shared" si="165"/>
        <v>0</v>
      </c>
      <c r="P394" s="137">
        <f t="shared" si="165"/>
        <v>0</v>
      </c>
      <c r="Q394" s="137">
        <f t="shared" si="165"/>
        <v>0</v>
      </c>
      <c r="R394" s="137">
        <f t="shared" si="165"/>
        <v>2200000</v>
      </c>
      <c r="S394" s="137">
        <f t="shared" si="165"/>
        <v>0</v>
      </c>
      <c r="T394" s="137">
        <f t="shared" si="165"/>
        <v>0</v>
      </c>
      <c r="U394" s="137">
        <f t="shared" si="165"/>
        <v>0</v>
      </c>
      <c r="V394" s="137">
        <f t="shared" si="165"/>
        <v>0</v>
      </c>
      <c r="W394" s="137">
        <f t="shared" si="165"/>
        <v>0</v>
      </c>
      <c r="X394" s="137">
        <f t="shared" si="165"/>
        <v>0</v>
      </c>
      <c r="Y394" s="137">
        <f t="shared" si="165"/>
        <v>0</v>
      </c>
      <c r="Z394" s="137">
        <f t="shared" si="165"/>
        <v>0</v>
      </c>
    </row>
    <row r="395" spans="1:26" ht="36.75" customHeight="1" x14ac:dyDescent="0.2">
      <c r="A395" s="16"/>
      <c r="B395" s="100" t="s">
        <v>48</v>
      </c>
      <c r="C395" s="34" t="s">
        <v>245</v>
      </c>
      <c r="D395" s="10" t="s">
        <v>83</v>
      </c>
      <c r="E395" s="10" t="s">
        <v>83</v>
      </c>
      <c r="F395" s="10" t="s">
        <v>83</v>
      </c>
      <c r="G395" s="10" t="s">
        <v>211</v>
      </c>
      <c r="H395" s="11" t="s">
        <v>83</v>
      </c>
      <c r="I395" s="198" t="s">
        <v>49</v>
      </c>
      <c r="J395" s="32"/>
      <c r="K395" s="33"/>
      <c r="L395" s="137">
        <v>2200000</v>
      </c>
      <c r="M395" s="137">
        <v>0</v>
      </c>
      <c r="N395" s="137">
        <v>2200000</v>
      </c>
      <c r="O395" s="137">
        <v>0</v>
      </c>
      <c r="P395" s="137">
        <v>0</v>
      </c>
      <c r="Q395" s="137">
        <v>0</v>
      </c>
      <c r="R395" s="137">
        <v>2200000</v>
      </c>
      <c r="S395" s="137">
        <v>0</v>
      </c>
      <c r="T395" s="137">
        <v>0</v>
      </c>
      <c r="U395" s="137">
        <v>0</v>
      </c>
      <c r="V395" s="137">
        <v>0</v>
      </c>
      <c r="W395" s="137">
        <v>0</v>
      </c>
      <c r="X395" s="137">
        <v>0</v>
      </c>
      <c r="Y395" s="137">
        <v>0</v>
      </c>
      <c r="Z395" s="137">
        <v>0</v>
      </c>
    </row>
    <row r="396" spans="1:26" ht="5.25" customHeight="1" x14ac:dyDescent="0.2">
      <c r="A396" s="16"/>
      <c r="B396" s="169"/>
      <c r="C396" s="37"/>
      <c r="D396" s="38"/>
      <c r="E396" s="26"/>
      <c r="F396" s="26"/>
      <c r="G396" s="27"/>
      <c r="H396" s="28"/>
      <c r="I396" s="187"/>
      <c r="J396" s="153"/>
      <c r="K396" s="153"/>
      <c r="L396" s="153"/>
      <c r="M396" s="153"/>
      <c r="N396" s="153"/>
      <c r="O396" s="154"/>
      <c r="P396" s="154"/>
      <c r="Q396" s="153"/>
      <c r="R396" s="153"/>
      <c r="S396" s="154"/>
      <c r="T396" s="155"/>
      <c r="U396" s="155"/>
      <c r="V396" s="154"/>
      <c r="W396" s="154"/>
      <c r="X396" s="155"/>
      <c r="Y396" s="155"/>
      <c r="Z396" s="155"/>
    </row>
    <row r="397" spans="1:26" ht="15" customHeight="1" x14ac:dyDescent="0.2">
      <c r="A397" s="16"/>
      <c r="B397" s="100"/>
      <c r="C397" s="231"/>
      <c r="D397" s="226"/>
      <c r="E397" s="31"/>
      <c r="F397" s="31"/>
      <c r="G397" s="227"/>
      <c r="H397" s="31"/>
      <c r="I397" s="161"/>
      <c r="J397" s="40"/>
      <c r="K397" s="97"/>
      <c r="L397" s="200"/>
      <c r="M397" s="200"/>
      <c r="N397" s="200"/>
      <c r="O397" s="201"/>
      <c r="P397" s="201"/>
      <c r="Q397" s="200"/>
      <c r="R397" s="200"/>
      <c r="S397" s="201"/>
      <c r="T397" s="201"/>
      <c r="U397" s="201"/>
      <c r="V397" s="201"/>
      <c r="W397" s="201"/>
      <c r="X397" s="201"/>
      <c r="Y397" s="201"/>
      <c r="Z397" s="201"/>
    </row>
    <row r="398" spans="1:26" ht="36" x14ac:dyDescent="0.2">
      <c r="B398" s="77" t="s">
        <v>32</v>
      </c>
      <c r="C398" s="78"/>
      <c r="D398" s="79"/>
      <c r="E398" s="79"/>
      <c r="F398" s="79"/>
      <c r="G398" s="80"/>
      <c r="H398" s="80"/>
      <c r="I398" s="82"/>
      <c r="J398" s="83" t="e">
        <f>J399+J405+J420+J437+J471+J476+J513+J522+#REF!+#REF!</f>
        <v>#REF!</v>
      </c>
      <c r="K398" s="84" t="e">
        <f>K399+K405+K420+K437+K471+K476+K513+K522+#REF!+#REF!</f>
        <v>#REF!</v>
      </c>
      <c r="L398" s="84">
        <f t="shared" ref="L398:Z398" si="166">L399+L405+L420+L437+L471+L476+L513+L522+L550+L505</f>
        <v>273565575.18000001</v>
      </c>
      <c r="M398" s="84">
        <f t="shared" si="166"/>
        <v>-10542447.280000001</v>
      </c>
      <c r="N398" s="84">
        <f t="shared" si="166"/>
        <v>263023127.89999998</v>
      </c>
      <c r="O398" s="85">
        <f t="shared" si="166"/>
        <v>214717042.46000001</v>
      </c>
      <c r="P398" s="85">
        <f t="shared" si="166"/>
        <v>-9423724.8099999987</v>
      </c>
      <c r="Q398" s="84">
        <f t="shared" si="166"/>
        <v>-59516331.100000001</v>
      </c>
      <c r="R398" s="84">
        <f t="shared" si="166"/>
        <v>203506796.80000001</v>
      </c>
      <c r="S398" s="85">
        <f t="shared" si="166"/>
        <v>205293317.65000004</v>
      </c>
      <c r="T398" s="85">
        <f t="shared" si="166"/>
        <v>215171367.56999999</v>
      </c>
      <c r="U398" s="85">
        <f t="shared" si="166"/>
        <v>-9178828.75</v>
      </c>
      <c r="V398" s="85">
        <f t="shared" si="166"/>
        <v>0</v>
      </c>
      <c r="W398" s="85">
        <f t="shared" si="166"/>
        <v>205293317.65000004</v>
      </c>
      <c r="X398" s="85">
        <f t="shared" si="166"/>
        <v>205992538.82000005</v>
      </c>
      <c r="Y398" s="85">
        <f t="shared" si="166"/>
        <v>0</v>
      </c>
      <c r="Z398" s="85">
        <f t="shared" si="166"/>
        <v>205992538.81999999</v>
      </c>
    </row>
    <row r="399" spans="1:26" ht="48" customHeight="1" x14ac:dyDescent="0.2">
      <c r="B399" s="86" t="s">
        <v>28</v>
      </c>
      <c r="C399" s="87" t="s">
        <v>2</v>
      </c>
      <c r="D399" s="88" t="s">
        <v>83</v>
      </c>
      <c r="E399" s="115" t="s">
        <v>83</v>
      </c>
      <c r="F399" s="115" t="s">
        <v>83</v>
      </c>
      <c r="G399" s="88" t="s">
        <v>84</v>
      </c>
      <c r="H399" s="118" t="s">
        <v>83</v>
      </c>
      <c r="I399" s="107"/>
      <c r="J399" s="83">
        <f t="shared" ref="J399:N401" si="167">J400</f>
        <v>4160910</v>
      </c>
      <c r="K399" s="84">
        <f t="shared" si="167"/>
        <v>0</v>
      </c>
      <c r="L399" s="84">
        <f t="shared" ref="L399:Z399" si="168">L400</f>
        <v>4727358.7300000004</v>
      </c>
      <c r="M399" s="84">
        <f t="shared" si="168"/>
        <v>0</v>
      </c>
      <c r="N399" s="84">
        <f t="shared" si="168"/>
        <v>4727358.7300000004</v>
      </c>
      <c r="O399" s="85">
        <f t="shared" si="168"/>
        <v>4727358.7300000004</v>
      </c>
      <c r="P399" s="85">
        <f t="shared" si="168"/>
        <v>0</v>
      </c>
      <c r="Q399" s="84">
        <f t="shared" si="168"/>
        <v>0</v>
      </c>
      <c r="R399" s="84">
        <f t="shared" si="168"/>
        <v>4727358.7300000004</v>
      </c>
      <c r="S399" s="85">
        <f t="shared" si="168"/>
        <v>4727358.7300000004</v>
      </c>
      <c r="T399" s="85">
        <f t="shared" si="168"/>
        <v>4727358.7300000004</v>
      </c>
      <c r="U399" s="85">
        <f t="shared" si="168"/>
        <v>0</v>
      </c>
      <c r="V399" s="85">
        <f t="shared" si="168"/>
        <v>0</v>
      </c>
      <c r="W399" s="85">
        <f t="shared" si="168"/>
        <v>4727358.7300000004</v>
      </c>
      <c r="X399" s="85">
        <f t="shared" si="168"/>
        <v>4727358.7300000004</v>
      </c>
      <c r="Y399" s="85">
        <f t="shared" si="168"/>
        <v>0</v>
      </c>
      <c r="Z399" s="85">
        <f t="shared" si="168"/>
        <v>4727358.7300000004</v>
      </c>
    </row>
    <row r="400" spans="1:26" ht="25.5" x14ac:dyDescent="0.2">
      <c r="B400" s="101" t="s">
        <v>29</v>
      </c>
      <c r="C400" s="39" t="s">
        <v>2</v>
      </c>
      <c r="D400" s="16" t="s">
        <v>83</v>
      </c>
      <c r="E400" s="16" t="s">
        <v>83</v>
      </c>
      <c r="F400" s="16" t="s">
        <v>83</v>
      </c>
      <c r="G400" s="16" t="s">
        <v>27</v>
      </c>
      <c r="H400" s="10" t="s">
        <v>83</v>
      </c>
      <c r="I400" s="102"/>
      <c r="J400" s="40">
        <f t="shared" si="167"/>
        <v>4160910</v>
      </c>
      <c r="K400" s="97">
        <f t="shared" si="167"/>
        <v>0</v>
      </c>
      <c r="L400" s="97">
        <f t="shared" si="167"/>
        <v>4727358.7300000004</v>
      </c>
      <c r="M400" s="97">
        <f t="shared" si="167"/>
        <v>0</v>
      </c>
      <c r="N400" s="97">
        <f t="shared" si="167"/>
        <v>4727358.7300000004</v>
      </c>
      <c r="O400" s="98">
        <f t="shared" ref="O400:Z401" si="169">O401</f>
        <v>4727358.7300000004</v>
      </c>
      <c r="P400" s="98">
        <f t="shared" si="169"/>
        <v>0</v>
      </c>
      <c r="Q400" s="97">
        <f>Q401</f>
        <v>0</v>
      </c>
      <c r="R400" s="97">
        <f>R401</f>
        <v>4727358.7300000004</v>
      </c>
      <c r="S400" s="98">
        <f t="shared" si="169"/>
        <v>4727358.7300000004</v>
      </c>
      <c r="T400" s="98">
        <f t="shared" si="169"/>
        <v>4727358.7300000004</v>
      </c>
      <c r="U400" s="98">
        <f t="shared" si="169"/>
        <v>0</v>
      </c>
      <c r="V400" s="98">
        <f t="shared" si="169"/>
        <v>0</v>
      </c>
      <c r="W400" s="98">
        <f t="shared" si="169"/>
        <v>4727358.7300000004</v>
      </c>
      <c r="X400" s="98">
        <f t="shared" si="169"/>
        <v>4727358.7300000004</v>
      </c>
      <c r="Y400" s="98">
        <f t="shared" si="169"/>
        <v>0</v>
      </c>
      <c r="Z400" s="98">
        <f t="shared" si="169"/>
        <v>4727358.7300000004</v>
      </c>
    </row>
    <row r="401" spans="2:26" ht="51" x14ac:dyDescent="0.2">
      <c r="B401" s="100" t="s">
        <v>57</v>
      </c>
      <c r="C401" s="39" t="s">
        <v>2</v>
      </c>
      <c r="D401" s="16" t="s">
        <v>83</v>
      </c>
      <c r="E401" s="16" t="s">
        <v>83</v>
      </c>
      <c r="F401" s="16" t="s">
        <v>83</v>
      </c>
      <c r="G401" s="16" t="s">
        <v>27</v>
      </c>
      <c r="H401" s="10" t="s">
        <v>83</v>
      </c>
      <c r="I401" s="102" t="s">
        <v>50</v>
      </c>
      <c r="J401" s="40">
        <f t="shared" si="167"/>
        <v>4160910</v>
      </c>
      <c r="K401" s="97">
        <f t="shared" si="167"/>
        <v>0</v>
      </c>
      <c r="L401" s="97">
        <f t="shared" si="167"/>
        <v>4727358.7300000004</v>
      </c>
      <c r="M401" s="97">
        <f t="shared" si="167"/>
        <v>0</v>
      </c>
      <c r="N401" s="97">
        <f t="shared" si="167"/>
        <v>4727358.7300000004</v>
      </c>
      <c r="O401" s="98">
        <f t="shared" si="169"/>
        <v>4727358.7300000004</v>
      </c>
      <c r="P401" s="98">
        <f t="shared" si="169"/>
        <v>0</v>
      </c>
      <c r="Q401" s="97">
        <f>Q402</f>
        <v>0</v>
      </c>
      <c r="R401" s="97">
        <f>R402</f>
        <v>4727358.7300000004</v>
      </c>
      <c r="S401" s="98">
        <f t="shared" si="169"/>
        <v>4727358.7300000004</v>
      </c>
      <c r="T401" s="98">
        <f t="shared" si="169"/>
        <v>4727358.7300000004</v>
      </c>
      <c r="U401" s="98">
        <f t="shared" si="169"/>
        <v>0</v>
      </c>
      <c r="V401" s="98">
        <f t="shared" si="169"/>
        <v>0</v>
      </c>
      <c r="W401" s="98">
        <f t="shared" si="169"/>
        <v>4727358.7300000004</v>
      </c>
      <c r="X401" s="98">
        <f t="shared" si="169"/>
        <v>4727358.7300000004</v>
      </c>
      <c r="Y401" s="98">
        <f t="shared" si="169"/>
        <v>0</v>
      </c>
      <c r="Z401" s="98">
        <f t="shared" si="169"/>
        <v>4727358.7300000004</v>
      </c>
    </row>
    <row r="402" spans="2:26" ht="25.5" x14ac:dyDescent="0.2">
      <c r="B402" s="100" t="s">
        <v>51</v>
      </c>
      <c r="C402" s="39" t="s">
        <v>2</v>
      </c>
      <c r="D402" s="16" t="s">
        <v>83</v>
      </c>
      <c r="E402" s="16" t="s">
        <v>83</v>
      </c>
      <c r="F402" s="16" t="s">
        <v>83</v>
      </c>
      <c r="G402" s="16" t="s">
        <v>27</v>
      </c>
      <c r="H402" s="10" t="s">
        <v>83</v>
      </c>
      <c r="I402" s="102">
        <v>120</v>
      </c>
      <c r="J402" s="40">
        <v>4160910</v>
      </c>
      <c r="K402" s="40">
        <v>0</v>
      </c>
      <c r="L402" s="232">
        <f>4627358.73+100000</f>
        <v>4727358.7300000004</v>
      </c>
      <c r="M402" s="232">
        <v>0</v>
      </c>
      <c r="N402" s="232">
        <f>4627358.73+100000</f>
        <v>4727358.7300000004</v>
      </c>
      <c r="O402" s="232">
        <f>4627358.73+100000</f>
        <v>4727358.7300000004</v>
      </c>
      <c r="P402" s="232">
        <v>0</v>
      </c>
      <c r="Q402" s="232">
        <v>0</v>
      </c>
      <c r="R402" s="232">
        <f>4627358.73+100000</f>
        <v>4727358.7300000004</v>
      </c>
      <c r="S402" s="232">
        <f>4627358.73+100000</f>
        <v>4727358.7300000004</v>
      </c>
      <c r="T402" s="232">
        <f>4627358.73+100000</f>
        <v>4727358.7300000004</v>
      </c>
      <c r="U402" s="232">
        <v>0</v>
      </c>
      <c r="V402" s="232">
        <v>0</v>
      </c>
      <c r="W402" s="232">
        <f>4627358.73+100000</f>
        <v>4727358.7300000004</v>
      </c>
      <c r="X402" s="232">
        <f>4627358.73+100000</f>
        <v>4727358.7300000004</v>
      </c>
      <c r="Y402" s="232">
        <v>0</v>
      </c>
      <c r="Z402" s="232">
        <f>4627358.73+100000</f>
        <v>4727358.7300000004</v>
      </c>
    </row>
    <row r="403" spans="2:26" x14ac:dyDescent="0.2">
      <c r="B403" s="169"/>
      <c r="C403" s="194"/>
      <c r="D403" s="49"/>
      <c r="E403" s="49"/>
      <c r="F403" s="49"/>
      <c r="G403" s="49"/>
      <c r="H403" s="26"/>
      <c r="I403" s="196"/>
      <c r="J403" s="40"/>
      <c r="K403" s="97"/>
      <c r="L403" s="153"/>
      <c r="M403" s="153"/>
      <c r="N403" s="153"/>
      <c r="O403" s="154"/>
      <c r="P403" s="154"/>
      <c r="Q403" s="153"/>
      <c r="R403" s="153"/>
      <c r="S403" s="154"/>
      <c r="T403" s="154"/>
      <c r="U403" s="154"/>
      <c r="V403" s="154"/>
      <c r="W403" s="154"/>
      <c r="X403" s="154"/>
      <c r="Y403" s="154"/>
      <c r="Z403" s="154"/>
    </row>
    <row r="404" spans="2:26" x14ac:dyDescent="0.2">
      <c r="B404" s="100"/>
      <c r="C404" s="39"/>
      <c r="D404" s="16"/>
      <c r="E404" s="16"/>
      <c r="F404" s="16"/>
      <c r="G404" s="16"/>
      <c r="H404" s="198"/>
      <c r="I404" s="16"/>
      <c r="J404" s="201"/>
      <c r="K404" s="200"/>
      <c r="L404" s="200"/>
      <c r="M404" s="200"/>
      <c r="N404" s="200"/>
      <c r="O404" s="201"/>
      <c r="P404" s="201"/>
      <c r="Q404" s="200"/>
      <c r="R404" s="200"/>
      <c r="S404" s="201"/>
      <c r="T404" s="202"/>
      <c r="U404" s="202"/>
      <c r="V404" s="201"/>
      <c r="W404" s="201"/>
      <c r="X404" s="202"/>
      <c r="Y404" s="202"/>
      <c r="Z404" s="202"/>
    </row>
    <row r="405" spans="2:26" ht="25.5" x14ac:dyDescent="0.2">
      <c r="B405" s="219" t="s">
        <v>260</v>
      </c>
      <c r="C405" s="87" t="s">
        <v>3</v>
      </c>
      <c r="D405" s="88" t="s">
        <v>83</v>
      </c>
      <c r="E405" s="115" t="s">
        <v>83</v>
      </c>
      <c r="F405" s="115" t="s">
        <v>83</v>
      </c>
      <c r="G405" s="88" t="s">
        <v>84</v>
      </c>
      <c r="H405" s="116" t="s">
        <v>83</v>
      </c>
      <c r="I405" s="51"/>
      <c r="J405" s="85">
        <f t="shared" ref="J405:X405" si="170">J406++J411</f>
        <v>3051274</v>
      </c>
      <c r="K405" s="84">
        <f t="shared" si="170"/>
        <v>0</v>
      </c>
      <c r="L405" s="84">
        <f t="shared" si="170"/>
        <v>4737638.2</v>
      </c>
      <c r="M405" s="84">
        <f t="shared" si="170"/>
        <v>0</v>
      </c>
      <c r="N405" s="84">
        <f t="shared" si="170"/>
        <v>4737638.2</v>
      </c>
      <c r="O405" s="85">
        <f t="shared" si="170"/>
        <v>4737638.2</v>
      </c>
      <c r="P405" s="85">
        <f t="shared" si="170"/>
        <v>0</v>
      </c>
      <c r="Q405" s="84">
        <f>Q406++Q411</f>
        <v>0</v>
      </c>
      <c r="R405" s="84">
        <f>R406++R411</f>
        <v>4737638.2</v>
      </c>
      <c r="S405" s="85">
        <f t="shared" si="170"/>
        <v>4737638.2</v>
      </c>
      <c r="T405" s="91">
        <f t="shared" si="170"/>
        <v>4737638.2</v>
      </c>
      <c r="U405" s="91">
        <f t="shared" si="170"/>
        <v>0</v>
      </c>
      <c r="V405" s="85">
        <f>V406++V411</f>
        <v>0</v>
      </c>
      <c r="W405" s="85">
        <f>W406++W411</f>
        <v>4737638.2</v>
      </c>
      <c r="X405" s="91">
        <f t="shared" si="170"/>
        <v>4737638.2</v>
      </c>
      <c r="Y405" s="91">
        <f>Y406++Y411</f>
        <v>0</v>
      </c>
      <c r="Z405" s="91">
        <f>Z406++Z411</f>
        <v>4737638.2</v>
      </c>
    </row>
    <row r="406" spans="2:26" ht="25.5" x14ac:dyDescent="0.2">
      <c r="B406" s="93" t="s">
        <v>261</v>
      </c>
      <c r="C406" s="87" t="s">
        <v>3</v>
      </c>
      <c r="D406" s="88">
        <v>1</v>
      </c>
      <c r="E406" s="115" t="s">
        <v>83</v>
      </c>
      <c r="F406" s="115" t="s">
        <v>83</v>
      </c>
      <c r="G406" s="88" t="s">
        <v>84</v>
      </c>
      <c r="H406" s="116" t="s">
        <v>83</v>
      </c>
      <c r="I406" s="51"/>
      <c r="J406" s="85">
        <f t="shared" ref="J406:N408" si="171">J407</f>
        <v>1708374</v>
      </c>
      <c r="K406" s="84">
        <f t="shared" si="171"/>
        <v>0</v>
      </c>
      <c r="L406" s="84">
        <f t="shared" si="171"/>
        <v>2957464.22</v>
      </c>
      <c r="M406" s="84">
        <f t="shared" si="171"/>
        <v>0</v>
      </c>
      <c r="N406" s="84">
        <f t="shared" si="171"/>
        <v>2957464.22</v>
      </c>
      <c r="O406" s="85">
        <f t="shared" ref="O406:Z408" si="172">O407</f>
        <v>2957464.22</v>
      </c>
      <c r="P406" s="85">
        <f t="shared" si="172"/>
        <v>0</v>
      </c>
      <c r="Q406" s="84">
        <f t="shared" si="172"/>
        <v>0</v>
      </c>
      <c r="R406" s="84">
        <f t="shared" si="172"/>
        <v>2957464.22</v>
      </c>
      <c r="S406" s="85">
        <f t="shared" si="172"/>
        <v>2957464.22</v>
      </c>
      <c r="T406" s="91">
        <f t="shared" si="172"/>
        <v>2957464.22</v>
      </c>
      <c r="U406" s="91">
        <f t="shared" si="172"/>
        <v>0</v>
      </c>
      <c r="V406" s="85">
        <f t="shared" si="172"/>
        <v>0</v>
      </c>
      <c r="W406" s="85">
        <f t="shared" si="172"/>
        <v>2957464.22</v>
      </c>
      <c r="X406" s="91">
        <f t="shared" si="172"/>
        <v>2957464.22</v>
      </c>
      <c r="Y406" s="91">
        <f t="shared" si="172"/>
        <v>0</v>
      </c>
      <c r="Z406" s="91">
        <f t="shared" si="172"/>
        <v>2957464.22</v>
      </c>
    </row>
    <row r="407" spans="2:26" ht="25.5" x14ac:dyDescent="0.2">
      <c r="B407" s="101" t="s">
        <v>29</v>
      </c>
      <c r="C407" s="39" t="s">
        <v>3</v>
      </c>
      <c r="D407" s="16">
        <v>1</v>
      </c>
      <c r="E407" s="16" t="s">
        <v>83</v>
      </c>
      <c r="F407" s="16" t="s">
        <v>83</v>
      </c>
      <c r="G407" s="16" t="s">
        <v>27</v>
      </c>
      <c r="H407" s="11" t="s">
        <v>83</v>
      </c>
      <c r="I407" s="16"/>
      <c r="J407" s="98">
        <f t="shared" si="171"/>
        <v>1708374</v>
      </c>
      <c r="K407" s="97">
        <f t="shared" si="171"/>
        <v>0</v>
      </c>
      <c r="L407" s="97">
        <f t="shared" si="171"/>
        <v>2957464.22</v>
      </c>
      <c r="M407" s="97">
        <f t="shared" si="171"/>
        <v>0</v>
      </c>
      <c r="N407" s="97">
        <f t="shared" si="171"/>
        <v>2957464.22</v>
      </c>
      <c r="O407" s="98">
        <f t="shared" si="172"/>
        <v>2957464.22</v>
      </c>
      <c r="P407" s="98">
        <f t="shared" si="172"/>
        <v>0</v>
      </c>
      <c r="Q407" s="97">
        <f t="shared" si="172"/>
        <v>0</v>
      </c>
      <c r="R407" s="97">
        <f t="shared" si="172"/>
        <v>2957464.22</v>
      </c>
      <c r="S407" s="98">
        <f t="shared" si="172"/>
        <v>2957464.22</v>
      </c>
      <c r="T407" s="99">
        <f t="shared" si="172"/>
        <v>2957464.22</v>
      </c>
      <c r="U407" s="99">
        <f t="shared" si="172"/>
        <v>0</v>
      </c>
      <c r="V407" s="98">
        <f t="shared" si="172"/>
        <v>0</v>
      </c>
      <c r="W407" s="98">
        <f t="shared" si="172"/>
        <v>2957464.22</v>
      </c>
      <c r="X407" s="99">
        <f t="shared" si="172"/>
        <v>2957464.22</v>
      </c>
      <c r="Y407" s="99">
        <f t="shared" si="172"/>
        <v>0</v>
      </c>
      <c r="Z407" s="99">
        <f t="shared" si="172"/>
        <v>2957464.22</v>
      </c>
    </row>
    <row r="408" spans="2:26" ht="51" x14ac:dyDescent="0.2">
      <c r="B408" s="100" t="s">
        <v>57</v>
      </c>
      <c r="C408" s="39" t="s">
        <v>3</v>
      </c>
      <c r="D408" s="16" t="s">
        <v>85</v>
      </c>
      <c r="E408" s="16" t="s">
        <v>83</v>
      </c>
      <c r="F408" s="16" t="s">
        <v>83</v>
      </c>
      <c r="G408" s="16" t="s">
        <v>27</v>
      </c>
      <c r="H408" s="11" t="s">
        <v>83</v>
      </c>
      <c r="I408" s="16">
        <v>100</v>
      </c>
      <c r="J408" s="98">
        <f t="shared" si="171"/>
        <v>1708374</v>
      </c>
      <c r="K408" s="97">
        <f t="shared" si="171"/>
        <v>0</v>
      </c>
      <c r="L408" s="104">
        <f t="shared" si="171"/>
        <v>2957464.22</v>
      </c>
      <c r="M408" s="104">
        <f t="shared" si="171"/>
        <v>0</v>
      </c>
      <c r="N408" s="104">
        <f t="shared" si="171"/>
        <v>2957464.22</v>
      </c>
      <c r="O408" s="104">
        <f t="shared" si="172"/>
        <v>2957464.22</v>
      </c>
      <c r="P408" s="104">
        <f t="shared" si="172"/>
        <v>0</v>
      </c>
      <c r="Q408" s="104">
        <f t="shared" si="172"/>
        <v>0</v>
      </c>
      <c r="R408" s="104">
        <f t="shared" si="172"/>
        <v>2957464.22</v>
      </c>
      <c r="S408" s="104">
        <f t="shared" si="172"/>
        <v>2957464.22</v>
      </c>
      <c r="T408" s="104">
        <f t="shared" si="172"/>
        <v>2957464.22</v>
      </c>
      <c r="U408" s="104">
        <f t="shared" si="172"/>
        <v>0</v>
      </c>
      <c r="V408" s="104">
        <f t="shared" si="172"/>
        <v>0</v>
      </c>
      <c r="W408" s="104">
        <f t="shared" si="172"/>
        <v>2957464.22</v>
      </c>
      <c r="X408" s="104">
        <f t="shared" si="172"/>
        <v>2957464.22</v>
      </c>
      <c r="Y408" s="104">
        <f t="shared" si="172"/>
        <v>0</v>
      </c>
      <c r="Z408" s="104">
        <f t="shared" si="172"/>
        <v>2957464.22</v>
      </c>
    </row>
    <row r="409" spans="2:26" ht="25.5" x14ac:dyDescent="0.2">
      <c r="B409" s="100" t="s">
        <v>51</v>
      </c>
      <c r="C409" s="39" t="s">
        <v>3</v>
      </c>
      <c r="D409" s="16" t="s">
        <v>85</v>
      </c>
      <c r="E409" s="16" t="s">
        <v>83</v>
      </c>
      <c r="F409" s="16" t="s">
        <v>83</v>
      </c>
      <c r="G409" s="16" t="s">
        <v>27</v>
      </c>
      <c r="H409" s="11" t="s">
        <v>83</v>
      </c>
      <c r="I409" s="16">
        <v>120</v>
      </c>
      <c r="J409" s="98">
        <v>1708374</v>
      </c>
      <c r="K409" s="97">
        <v>0</v>
      </c>
      <c r="L409" s="104">
        <v>2957464.22</v>
      </c>
      <c r="M409" s="104">
        <v>0</v>
      </c>
      <c r="N409" s="104">
        <v>2957464.22</v>
      </c>
      <c r="O409" s="104">
        <v>2957464.22</v>
      </c>
      <c r="P409" s="104">
        <v>0</v>
      </c>
      <c r="Q409" s="104">
        <v>0</v>
      </c>
      <c r="R409" s="104">
        <v>2957464.22</v>
      </c>
      <c r="S409" s="104">
        <v>2957464.22</v>
      </c>
      <c r="T409" s="104">
        <v>2957464.22</v>
      </c>
      <c r="U409" s="104">
        <v>0</v>
      </c>
      <c r="V409" s="104">
        <v>0</v>
      </c>
      <c r="W409" s="104">
        <v>2957464.22</v>
      </c>
      <c r="X409" s="104">
        <v>2957464.22</v>
      </c>
      <c r="Y409" s="104">
        <v>0</v>
      </c>
      <c r="Z409" s="104">
        <v>2957464.22</v>
      </c>
    </row>
    <row r="410" spans="2:26" x14ac:dyDescent="0.2">
      <c r="B410" s="100"/>
      <c r="C410" s="39"/>
      <c r="D410" s="16"/>
      <c r="E410" s="16"/>
      <c r="F410" s="16"/>
      <c r="G410" s="16"/>
      <c r="H410" s="11"/>
      <c r="I410" s="16"/>
      <c r="J410" s="98"/>
      <c r="K410" s="97"/>
      <c r="L410" s="97"/>
      <c r="M410" s="97"/>
      <c r="N410" s="97"/>
      <c r="O410" s="98"/>
      <c r="P410" s="98"/>
      <c r="Q410" s="97"/>
      <c r="R410" s="97"/>
      <c r="S410" s="98"/>
      <c r="T410" s="99"/>
      <c r="U410" s="99"/>
      <c r="V410" s="98"/>
      <c r="W410" s="98"/>
      <c r="X410" s="99"/>
      <c r="Y410" s="99"/>
      <c r="Z410" s="99"/>
    </row>
    <row r="411" spans="2:26" x14ac:dyDescent="0.2">
      <c r="B411" s="93" t="s">
        <v>262</v>
      </c>
      <c r="C411" s="87" t="s">
        <v>3</v>
      </c>
      <c r="D411" s="88" t="s">
        <v>81</v>
      </c>
      <c r="E411" s="115" t="s">
        <v>83</v>
      </c>
      <c r="F411" s="115" t="s">
        <v>83</v>
      </c>
      <c r="G411" s="88" t="s">
        <v>84</v>
      </c>
      <c r="H411" s="116" t="s">
        <v>83</v>
      </c>
      <c r="I411" s="51"/>
      <c r="J411" s="85">
        <f t="shared" ref="J411:Z411" si="173">J412</f>
        <v>1342900</v>
      </c>
      <c r="K411" s="84">
        <f t="shared" si="173"/>
        <v>0</v>
      </c>
      <c r="L411" s="84">
        <f t="shared" si="173"/>
        <v>1780173.98</v>
      </c>
      <c r="M411" s="84">
        <f t="shared" si="173"/>
        <v>0</v>
      </c>
      <c r="N411" s="84">
        <f t="shared" si="173"/>
        <v>1780173.98</v>
      </c>
      <c r="O411" s="85">
        <f t="shared" si="173"/>
        <v>1780173.98</v>
      </c>
      <c r="P411" s="85">
        <f t="shared" si="173"/>
        <v>0</v>
      </c>
      <c r="Q411" s="84">
        <f t="shared" si="173"/>
        <v>0</v>
      </c>
      <c r="R411" s="84">
        <f t="shared" si="173"/>
        <v>1780173.98</v>
      </c>
      <c r="S411" s="85">
        <f t="shared" si="173"/>
        <v>1780173.98</v>
      </c>
      <c r="T411" s="91">
        <f t="shared" si="173"/>
        <v>1780173.98</v>
      </c>
      <c r="U411" s="91">
        <f t="shared" si="173"/>
        <v>0</v>
      </c>
      <c r="V411" s="85">
        <f t="shared" si="173"/>
        <v>0</v>
      </c>
      <c r="W411" s="85">
        <f t="shared" si="173"/>
        <v>1780173.98</v>
      </c>
      <c r="X411" s="91">
        <f t="shared" si="173"/>
        <v>1780173.98</v>
      </c>
      <c r="Y411" s="91">
        <f t="shared" si="173"/>
        <v>0</v>
      </c>
      <c r="Z411" s="91">
        <f t="shared" si="173"/>
        <v>1780173.98</v>
      </c>
    </row>
    <row r="412" spans="2:26" ht="25.5" x14ac:dyDescent="0.2">
      <c r="B412" s="101" t="s">
        <v>29</v>
      </c>
      <c r="C412" s="39" t="s">
        <v>3</v>
      </c>
      <c r="D412" s="16" t="s">
        <v>81</v>
      </c>
      <c r="E412" s="16" t="s">
        <v>83</v>
      </c>
      <c r="F412" s="16" t="s">
        <v>83</v>
      </c>
      <c r="G412" s="16" t="s">
        <v>27</v>
      </c>
      <c r="H412" s="11" t="s">
        <v>83</v>
      </c>
      <c r="I412" s="16"/>
      <c r="J412" s="98">
        <f t="shared" ref="J412:X412" si="174">J413+J415+J417</f>
        <v>1342900</v>
      </c>
      <c r="K412" s="97">
        <f t="shared" si="174"/>
        <v>0</v>
      </c>
      <c r="L412" s="97">
        <f t="shared" si="174"/>
        <v>1780173.98</v>
      </c>
      <c r="M412" s="97">
        <f t="shared" si="174"/>
        <v>0</v>
      </c>
      <c r="N412" s="97">
        <f t="shared" si="174"/>
        <v>1780173.98</v>
      </c>
      <c r="O412" s="98">
        <f t="shared" si="174"/>
        <v>1780173.98</v>
      </c>
      <c r="P412" s="98">
        <f t="shared" si="174"/>
        <v>0</v>
      </c>
      <c r="Q412" s="97">
        <f>Q413+Q415+Q417</f>
        <v>0</v>
      </c>
      <c r="R412" s="97">
        <f>R413+R415+R417</f>
        <v>1780173.98</v>
      </c>
      <c r="S412" s="98">
        <f t="shared" si="174"/>
        <v>1780173.98</v>
      </c>
      <c r="T412" s="99">
        <f t="shared" si="174"/>
        <v>1780173.98</v>
      </c>
      <c r="U412" s="99">
        <f t="shared" si="174"/>
        <v>0</v>
      </c>
      <c r="V412" s="98">
        <f>V413+V415+V417</f>
        <v>0</v>
      </c>
      <c r="W412" s="98">
        <f>W413+W415+W417</f>
        <v>1780173.98</v>
      </c>
      <c r="X412" s="99">
        <f t="shared" si="174"/>
        <v>1780173.98</v>
      </c>
      <c r="Y412" s="99">
        <f>Y413+Y415+Y417</f>
        <v>0</v>
      </c>
      <c r="Z412" s="99">
        <f>Z413+Z415+Z417</f>
        <v>1780173.98</v>
      </c>
    </row>
    <row r="413" spans="2:26" ht="51" x14ac:dyDescent="0.2">
      <c r="B413" s="100" t="s">
        <v>57</v>
      </c>
      <c r="C413" s="39" t="s">
        <v>3</v>
      </c>
      <c r="D413" s="16" t="s">
        <v>81</v>
      </c>
      <c r="E413" s="16" t="s">
        <v>83</v>
      </c>
      <c r="F413" s="16" t="s">
        <v>83</v>
      </c>
      <c r="G413" s="16" t="s">
        <v>27</v>
      </c>
      <c r="H413" s="11" t="s">
        <v>83</v>
      </c>
      <c r="I413" s="16">
        <v>100</v>
      </c>
      <c r="J413" s="98">
        <f t="shared" ref="J413:Z413" si="175">J414</f>
        <v>1153600</v>
      </c>
      <c r="K413" s="97">
        <f t="shared" si="175"/>
        <v>0</v>
      </c>
      <c r="L413" s="104">
        <f t="shared" si="175"/>
        <v>1710873.98</v>
      </c>
      <c r="M413" s="104">
        <f t="shared" si="175"/>
        <v>0</v>
      </c>
      <c r="N413" s="104">
        <f t="shared" si="175"/>
        <v>1710873.98</v>
      </c>
      <c r="O413" s="104">
        <f t="shared" si="175"/>
        <v>1710873.98</v>
      </c>
      <c r="P413" s="104">
        <f t="shared" si="175"/>
        <v>0</v>
      </c>
      <c r="Q413" s="104">
        <f t="shared" si="175"/>
        <v>0</v>
      </c>
      <c r="R413" s="104">
        <f t="shared" si="175"/>
        <v>1710873.98</v>
      </c>
      <c r="S413" s="104">
        <f t="shared" si="175"/>
        <v>1710873.98</v>
      </c>
      <c r="T413" s="104">
        <f t="shared" si="175"/>
        <v>1710873.98</v>
      </c>
      <c r="U413" s="104">
        <f t="shared" si="175"/>
        <v>0</v>
      </c>
      <c r="V413" s="104">
        <f t="shared" si="175"/>
        <v>0</v>
      </c>
      <c r="W413" s="104">
        <f t="shared" si="175"/>
        <v>1710873.98</v>
      </c>
      <c r="X413" s="104">
        <f t="shared" si="175"/>
        <v>1710873.98</v>
      </c>
      <c r="Y413" s="104">
        <f t="shared" si="175"/>
        <v>0</v>
      </c>
      <c r="Z413" s="104">
        <f t="shared" si="175"/>
        <v>1710873.98</v>
      </c>
    </row>
    <row r="414" spans="2:26" ht="25.5" x14ac:dyDescent="0.2">
      <c r="B414" s="100" t="s">
        <v>51</v>
      </c>
      <c r="C414" s="39" t="s">
        <v>3</v>
      </c>
      <c r="D414" s="16" t="s">
        <v>81</v>
      </c>
      <c r="E414" s="16" t="s">
        <v>83</v>
      </c>
      <c r="F414" s="16" t="s">
        <v>83</v>
      </c>
      <c r="G414" s="16" t="s">
        <v>27</v>
      </c>
      <c r="H414" s="11" t="s">
        <v>83</v>
      </c>
      <c r="I414" s="16">
        <v>120</v>
      </c>
      <c r="J414" s="104">
        <v>1153600</v>
      </c>
      <c r="K414" s="103">
        <v>0</v>
      </c>
      <c r="L414" s="104">
        <v>1710873.98</v>
      </c>
      <c r="M414" s="104">
        <v>0</v>
      </c>
      <c r="N414" s="104">
        <v>1710873.98</v>
      </c>
      <c r="O414" s="104">
        <v>1710873.98</v>
      </c>
      <c r="P414" s="104">
        <v>0</v>
      </c>
      <c r="Q414" s="104">
        <v>0</v>
      </c>
      <c r="R414" s="104">
        <v>1710873.98</v>
      </c>
      <c r="S414" s="104">
        <v>1710873.98</v>
      </c>
      <c r="T414" s="104">
        <v>1710873.98</v>
      </c>
      <c r="U414" s="104">
        <v>0</v>
      </c>
      <c r="V414" s="104">
        <v>0</v>
      </c>
      <c r="W414" s="104">
        <v>1710873.98</v>
      </c>
      <c r="X414" s="104">
        <v>1710873.98</v>
      </c>
      <c r="Y414" s="104">
        <v>0</v>
      </c>
      <c r="Z414" s="104">
        <v>1710873.98</v>
      </c>
    </row>
    <row r="415" spans="2:26" ht="25.5" x14ac:dyDescent="0.2">
      <c r="B415" s="100" t="s">
        <v>42</v>
      </c>
      <c r="C415" s="39" t="s">
        <v>3</v>
      </c>
      <c r="D415" s="16" t="s">
        <v>81</v>
      </c>
      <c r="E415" s="16" t="s">
        <v>83</v>
      </c>
      <c r="F415" s="16" t="s">
        <v>83</v>
      </c>
      <c r="G415" s="16" t="s">
        <v>27</v>
      </c>
      <c r="H415" s="11" t="s">
        <v>83</v>
      </c>
      <c r="I415" s="16" t="s">
        <v>43</v>
      </c>
      <c r="J415" s="104">
        <f t="shared" ref="J415:Z415" si="176">J416</f>
        <v>189300</v>
      </c>
      <c r="K415" s="103">
        <f t="shared" si="176"/>
        <v>0</v>
      </c>
      <c r="L415" s="104">
        <f t="shared" si="176"/>
        <v>69300</v>
      </c>
      <c r="M415" s="104">
        <f t="shared" si="176"/>
        <v>0</v>
      </c>
      <c r="N415" s="104">
        <f t="shared" si="176"/>
        <v>69300</v>
      </c>
      <c r="O415" s="104">
        <f t="shared" si="176"/>
        <v>69300</v>
      </c>
      <c r="P415" s="104">
        <f t="shared" si="176"/>
        <v>0</v>
      </c>
      <c r="Q415" s="104">
        <f t="shared" si="176"/>
        <v>0</v>
      </c>
      <c r="R415" s="104">
        <f t="shared" si="176"/>
        <v>69300</v>
      </c>
      <c r="S415" s="104">
        <f t="shared" si="176"/>
        <v>69300</v>
      </c>
      <c r="T415" s="104">
        <f t="shared" si="176"/>
        <v>69300</v>
      </c>
      <c r="U415" s="104">
        <f t="shared" si="176"/>
        <v>0</v>
      </c>
      <c r="V415" s="104">
        <f t="shared" si="176"/>
        <v>0</v>
      </c>
      <c r="W415" s="104">
        <f t="shared" si="176"/>
        <v>69300</v>
      </c>
      <c r="X415" s="104">
        <f t="shared" si="176"/>
        <v>69300</v>
      </c>
      <c r="Y415" s="104">
        <f t="shared" si="176"/>
        <v>0</v>
      </c>
      <c r="Z415" s="104">
        <f t="shared" si="176"/>
        <v>69300</v>
      </c>
    </row>
    <row r="416" spans="2:26" ht="25.5" x14ac:dyDescent="0.2">
      <c r="B416" s="100" t="s">
        <v>44</v>
      </c>
      <c r="C416" s="39" t="s">
        <v>3</v>
      </c>
      <c r="D416" s="16" t="s">
        <v>81</v>
      </c>
      <c r="E416" s="16" t="s">
        <v>83</v>
      </c>
      <c r="F416" s="16" t="s">
        <v>83</v>
      </c>
      <c r="G416" s="16" t="s">
        <v>27</v>
      </c>
      <c r="H416" s="11" t="s">
        <v>83</v>
      </c>
      <c r="I416" s="16" t="s">
        <v>45</v>
      </c>
      <c r="J416" s="104">
        <v>189300</v>
      </c>
      <c r="K416" s="103">
        <v>0</v>
      </c>
      <c r="L416" s="104">
        <v>69300</v>
      </c>
      <c r="M416" s="104">
        <v>0</v>
      </c>
      <c r="N416" s="104">
        <v>69300</v>
      </c>
      <c r="O416" s="104">
        <v>69300</v>
      </c>
      <c r="P416" s="104">
        <v>0</v>
      </c>
      <c r="Q416" s="104">
        <v>0</v>
      </c>
      <c r="R416" s="104">
        <v>69300</v>
      </c>
      <c r="S416" s="104">
        <v>69300</v>
      </c>
      <c r="T416" s="104">
        <v>69300</v>
      </c>
      <c r="U416" s="104">
        <v>0</v>
      </c>
      <c r="V416" s="104">
        <v>0</v>
      </c>
      <c r="W416" s="104">
        <v>69300</v>
      </c>
      <c r="X416" s="104">
        <v>69300</v>
      </c>
      <c r="Y416" s="104">
        <v>0</v>
      </c>
      <c r="Z416" s="104">
        <v>69300</v>
      </c>
    </row>
    <row r="417" spans="2:26" hidden="1" x14ac:dyDescent="0.2">
      <c r="B417" s="100" t="s">
        <v>52</v>
      </c>
      <c r="C417" s="34" t="s">
        <v>3</v>
      </c>
      <c r="D417" s="10" t="s">
        <v>81</v>
      </c>
      <c r="E417" s="10" t="s">
        <v>83</v>
      </c>
      <c r="F417" s="10" t="s">
        <v>83</v>
      </c>
      <c r="G417" s="10" t="s">
        <v>27</v>
      </c>
      <c r="H417" s="11" t="s">
        <v>83</v>
      </c>
      <c r="I417" s="16" t="s">
        <v>53</v>
      </c>
      <c r="J417" s="98">
        <f t="shared" ref="J417:Z417" si="177">J418</f>
        <v>0</v>
      </c>
      <c r="K417" s="97">
        <f t="shared" si="177"/>
        <v>0</v>
      </c>
      <c r="L417" s="97">
        <f t="shared" si="177"/>
        <v>0</v>
      </c>
      <c r="M417" s="97">
        <f t="shared" si="177"/>
        <v>0</v>
      </c>
      <c r="N417" s="97">
        <f t="shared" si="177"/>
        <v>0</v>
      </c>
      <c r="O417" s="98">
        <f t="shared" si="177"/>
        <v>0</v>
      </c>
      <c r="P417" s="98">
        <f t="shared" si="177"/>
        <v>0</v>
      </c>
      <c r="Q417" s="97">
        <f t="shared" si="177"/>
        <v>0</v>
      </c>
      <c r="R417" s="97">
        <f t="shared" si="177"/>
        <v>0</v>
      </c>
      <c r="S417" s="98">
        <f t="shared" si="177"/>
        <v>0</v>
      </c>
      <c r="T417" s="99">
        <f t="shared" si="177"/>
        <v>0</v>
      </c>
      <c r="U417" s="99">
        <f t="shared" si="177"/>
        <v>0</v>
      </c>
      <c r="V417" s="98">
        <f t="shared" si="177"/>
        <v>0</v>
      </c>
      <c r="W417" s="98">
        <f t="shared" si="177"/>
        <v>0</v>
      </c>
      <c r="X417" s="99">
        <f t="shared" si="177"/>
        <v>0</v>
      </c>
      <c r="Y417" s="99">
        <f t="shared" si="177"/>
        <v>0</v>
      </c>
      <c r="Z417" s="99">
        <f t="shared" si="177"/>
        <v>0</v>
      </c>
    </row>
    <row r="418" spans="2:26" hidden="1" x14ac:dyDescent="0.2">
      <c r="B418" s="100" t="s">
        <v>54</v>
      </c>
      <c r="C418" s="34" t="s">
        <v>3</v>
      </c>
      <c r="D418" s="10" t="s">
        <v>81</v>
      </c>
      <c r="E418" s="10" t="s">
        <v>83</v>
      </c>
      <c r="F418" s="10" t="s">
        <v>83</v>
      </c>
      <c r="G418" s="10" t="s">
        <v>27</v>
      </c>
      <c r="H418" s="11" t="s">
        <v>83</v>
      </c>
      <c r="I418" s="16" t="s">
        <v>55</v>
      </c>
      <c r="J418" s="98">
        <v>0</v>
      </c>
      <c r="K418" s="97">
        <v>0</v>
      </c>
      <c r="L418" s="97">
        <v>0</v>
      </c>
      <c r="M418" s="97">
        <v>0</v>
      </c>
      <c r="N418" s="97">
        <v>0</v>
      </c>
      <c r="O418" s="98">
        <v>0</v>
      </c>
      <c r="P418" s="98">
        <v>0</v>
      </c>
      <c r="Q418" s="97">
        <v>0</v>
      </c>
      <c r="R418" s="97">
        <v>0</v>
      </c>
      <c r="S418" s="98">
        <v>0</v>
      </c>
      <c r="T418" s="99">
        <v>0</v>
      </c>
      <c r="U418" s="99">
        <v>0</v>
      </c>
      <c r="V418" s="98">
        <v>0</v>
      </c>
      <c r="W418" s="98">
        <v>0</v>
      </c>
      <c r="X418" s="99">
        <v>0</v>
      </c>
      <c r="Y418" s="99">
        <v>0</v>
      </c>
      <c r="Z418" s="99">
        <v>0</v>
      </c>
    </row>
    <row r="419" spans="2:26" x14ac:dyDescent="0.2">
      <c r="B419" s="169"/>
      <c r="C419" s="194"/>
      <c r="D419" s="49"/>
      <c r="E419" s="49"/>
      <c r="F419" s="49"/>
      <c r="G419" s="49"/>
      <c r="H419" s="195"/>
      <c r="I419" s="49"/>
      <c r="J419" s="154"/>
      <c r="K419" s="153"/>
      <c r="L419" s="153"/>
      <c r="M419" s="153"/>
      <c r="N419" s="153"/>
      <c r="O419" s="154"/>
      <c r="P419" s="154"/>
      <c r="Q419" s="153"/>
      <c r="R419" s="153"/>
      <c r="S419" s="154"/>
      <c r="T419" s="155"/>
      <c r="U419" s="155"/>
      <c r="V419" s="154"/>
      <c r="W419" s="154"/>
      <c r="X419" s="155"/>
      <c r="Y419" s="155"/>
      <c r="Z419" s="155"/>
    </row>
    <row r="420" spans="2:26" ht="31.5" x14ac:dyDescent="0.2">
      <c r="B420" s="233" t="s">
        <v>30</v>
      </c>
      <c r="C420" s="140" t="s">
        <v>4</v>
      </c>
      <c r="D420" s="141" t="s">
        <v>83</v>
      </c>
      <c r="E420" s="142" t="s">
        <v>83</v>
      </c>
      <c r="F420" s="142" t="s">
        <v>83</v>
      </c>
      <c r="G420" s="141" t="s">
        <v>84</v>
      </c>
      <c r="H420" s="129" t="s">
        <v>83</v>
      </c>
      <c r="I420" s="72"/>
      <c r="J420" s="144">
        <f>J431</f>
        <v>2141100</v>
      </c>
      <c r="K420" s="144">
        <f>K424+K428+K430+K431</f>
        <v>331938</v>
      </c>
      <c r="L420" s="144">
        <f>L424+L428+L430+L431</f>
        <v>3334689.64</v>
      </c>
      <c r="M420" s="144">
        <f>M424+M428+M430+M431</f>
        <v>0</v>
      </c>
      <c r="N420" s="144">
        <f>N424+N428+N430+N431</f>
        <v>3334689.64</v>
      </c>
      <c r="O420" s="145">
        <f>O421+O425+O431</f>
        <v>3334689.64</v>
      </c>
      <c r="P420" s="145">
        <f>P421+P425+P431</f>
        <v>0</v>
      </c>
      <c r="Q420" s="144">
        <f>Q424+Q428+Q430+Q431</f>
        <v>0</v>
      </c>
      <c r="R420" s="144">
        <f>R424+R428+R430+R431</f>
        <v>3334689.64</v>
      </c>
      <c r="S420" s="145">
        <f>S421+S425+S431</f>
        <v>3334689.64</v>
      </c>
      <c r="T420" s="146">
        <f>T424+T428+T430+T431</f>
        <v>3334689.64</v>
      </c>
      <c r="U420" s="146">
        <f>U424+U428+U430+U431</f>
        <v>0</v>
      </c>
      <c r="V420" s="145">
        <f>V421+V425+V431</f>
        <v>0</v>
      </c>
      <c r="W420" s="145">
        <f>W421+W425+W431</f>
        <v>3334689.64</v>
      </c>
      <c r="X420" s="146">
        <f>X424+X428+X430+X431</f>
        <v>3334689.64</v>
      </c>
      <c r="Y420" s="146">
        <f>Y424+Y428+Y430+Y431</f>
        <v>0</v>
      </c>
      <c r="Z420" s="146">
        <f>Z424+Z428+Z430+Z431</f>
        <v>3334689.64</v>
      </c>
    </row>
    <row r="421" spans="2:26" ht="25.5" x14ac:dyDescent="0.2">
      <c r="B421" s="100" t="s">
        <v>225</v>
      </c>
      <c r="C421" s="34" t="s">
        <v>4</v>
      </c>
      <c r="D421" s="10" t="s">
        <v>85</v>
      </c>
      <c r="E421" s="10" t="s">
        <v>83</v>
      </c>
      <c r="F421" s="10" t="s">
        <v>83</v>
      </c>
      <c r="G421" s="10" t="s">
        <v>84</v>
      </c>
      <c r="H421" s="10" t="s">
        <v>83</v>
      </c>
      <c r="I421" s="135"/>
      <c r="J421" s="97">
        <f>J422</f>
        <v>0</v>
      </c>
      <c r="K421" s="97">
        <f t="shared" ref="K421:Z423" si="178">K422</f>
        <v>1540338</v>
      </c>
      <c r="L421" s="97">
        <f t="shared" si="178"/>
        <v>1885691.81</v>
      </c>
      <c r="M421" s="97">
        <f t="shared" si="178"/>
        <v>0</v>
      </c>
      <c r="N421" s="97">
        <f t="shared" si="178"/>
        <v>1885691.81</v>
      </c>
      <c r="O421" s="98">
        <f t="shared" ref="O421:Z422" si="179">O422</f>
        <v>1885691.81</v>
      </c>
      <c r="P421" s="98">
        <f t="shared" si="179"/>
        <v>0</v>
      </c>
      <c r="Q421" s="97">
        <f t="shared" si="178"/>
        <v>0</v>
      </c>
      <c r="R421" s="97">
        <f t="shared" si="178"/>
        <v>1885691.81</v>
      </c>
      <c r="S421" s="98">
        <f t="shared" si="179"/>
        <v>1885691.81</v>
      </c>
      <c r="T421" s="99">
        <f t="shared" si="179"/>
        <v>1885691.81</v>
      </c>
      <c r="U421" s="99">
        <f t="shared" si="179"/>
        <v>0</v>
      </c>
      <c r="V421" s="98">
        <f t="shared" si="179"/>
        <v>0</v>
      </c>
      <c r="W421" s="98">
        <f t="shared" si="179"/>
        <v>1885691.81</v>
      </c>
      <c r="X421" s="99">
        <f t="shared" si="179"/>
        <v>1885691.81</v>
      </c>
      <c r="Y421" s="99">
        <f t="shared" si="179"/>
        <v>0</v>
      </c>
      <c r="Z421" s="99">
        <f t="shared" si="179"/>
        <v>1885691.81</v>
      </c>
    </row>
    <row r="422" spans="2:26" ht="25.5" x14ac:dyDescent="0.2">
      <c r="B422" s="101" t="s">
        <v>29</v>
      </c>
      <c r="C422" s="34" t="s">
        <v>4</v>
      </c>
      <c r="D422" s="10" t="s">
        <v>85</v>
      </c>
      <c r="E422" s="10" t="s">
        <v>83</v>
      </c>
      <c r="F422" s="10" t="s">
        <v>83</v>
      </c>
      <c r="G422" s="10" t="s">
        <v>27</v>
      </c>
      <c r="H422" s="10" t="s">
        <v>83</v>
      </c>
      <c r="I422" s="135"/>
      <c r="J422" s="97">
        <f>J423</f>
        <v>0</v>
      </c>
      <c r="K422" s="97">
        <f t="shared" si="178"/>
        <v>1540338</v>
      </c>
      <c r="L422" s="97">
        <f t="shared" si="178"/>
        <v>1885691.81</v>
      </c>
      <c r="M422" s="97">
        <f t="shared" si="178"/>
        <v>0</v>
      </c>
      <c r="N422" s="97">
        <f t="shared" si="178"/>
        <v>1885691.81</v>
      </c>
      <c r="O422" s="98">
        <f t="shared" si="179"/>
        <v>1885691.81</v>
      </c>
      <c r="P422" s="98">
        <f t="shared" si="179"/>
        <v>0</v>
      </c>
      <c r="Q422" s="97">
        <f t="shared" si="178"/>
        <v>0</v>
      </c>
      <c r="R422" s="97">
        <f t="shared" si="178"/>
        <v>1885691.81</v>
      </c>
      <c r="S422" s="98">
        <f t="shared" si="179"/>
        <v>1885691.81</v>
      </c>
      <c r="T422" s="99">
        <f t="shared" si="179"/>
        <v>1885691.81</v>
      </c>
      <c r="U422" s="99">
        <f t="shared" si="179"/>
        <v>0</v>
      </c>
      <c r="V422" s="98">
        <f t="shared" si="179"/>
        <v>0</v>
      </c>
      <c r="W422" s="98">
        <f t="shared" si="179"/>
        <v>1885691.81</v>
      </c>
      <c r="X422" s="99">
        <f t="shared" si="179"/>
        <v>1885691.81</v>
      </c>
      <c r="Y422" s="99">
        <f t="shared" si="179"/>
        <v>0</v>
      </c>
      <c r="Z422" s="99">
        <f t="shared" si="179"/>
        <v>1885691.81</v>
      </c>
    </row>
    <row r="423" spans="2:26" ht="51" x14ac:dyDescent="0.2">
      <c r="B423" s="100" t="s">
        <v>57</v>
      </c>
      <c r="C423" s="34" t="s">
        <v>4</v>
      </c>
      <c r="D423" s="10" t="s">
        <v>85</v>
      </c>
      <c r="E423" s="10" t="s">
        <v>83</v>
      </c>
      <c r="F423" s="10" t="s">
        <v>83</v>
      </c>
      <c r="G423" s="10" t="s">
        <v>27</v>
      </c>
      <c r="H423" s="10" t="s">
        <v>83</v>
      </c>
      <c r="I423" s="102">
        <v>100</v>
      </c>
      <c r="J423" s="97">
        <f>J424</f>
        <v>0</v>
      </c>
      <c r="K423" s="97">
        <f t="shared" si="178"/>
        <v>1540338</v>
      </c>
      <c r="L423" s="234">
        <f t="shared" si="178"/>
        <v>1885691.81</v>
      </c>
      <c r="M423" s="234">
        <f t="shared" si="178"/>
        <v>0</v>
      </c>
      <c r="N423" s="234">
        <f t="shared" si="178"/>
        <v>1885691.81</v>
      </c>
      <c r="O423" s="234">
        <f t="shared" si="178"/>
        <v>1885691.81</v>
      </c>
      <c r="P423" s="234">
        <f t="shared" si="178"/>
        <v>0</v>
      </c>
      <c r="Q423" s="234">
        <f t="shared" si="178"/>
        <v>0</v>
      </c>
      <c r="R423" s="234">
        <f t="shared" si="178"/>
        <v>1885691.81</v>
      </c>
      <c r="S423" s="234">
        <f t="shared" si="178"/>
        <v>1885691.81</v>
      </c>
      <c r="T423" s="234">
        <f t="shared" si="178"/>
        <v>1885691.81</v>
      </c>
      <c r="U423" s="234">
        <f t="shared" si="178"/>
        <v>0</v>
      </c>
      <c r="V423" s="234">
        <f t="shared" si="178"/>
        <v>0</v>
      </c>
      <c r="W423" s="234">
        <f t="shared" si="178"/>
        <v>1885691.81</v>
      </c>
      <c r="X423" s="234">
        <f t="shared" si="178"/>
        <v>1885691.81</v>
      </c>
      <c r="Y423" s="234">
        <f t="shared" si="178"/>
        <v>0</v>
      </c>
      <c r="Z423" s="234">
        <f t="shared" si="178"/>
        <v>1885691.81</v>
      </c>
    </row>
    <row r="424" spans="2:26" ht="25.5" x14ac:dyDescent="0.2">
      <c r="B424" s="100" t="s">
        <v>51</v>
      </c>
      <c r="C424" s="34" t="s">
        <v>4</v>
      </c>
      <c r="D424" s="10" t="s">
        <v>85</v>
      </c>
      <c r="E424" s="10" t="s">
        <v>83</v>
      </c>
      <c r="F424" s="10" t="s">
        <v>83</v>
      </c>
      <c r="G424" s="10" t="s">
        <v>27</v>
      </c>
      <c r="H424" s="10" t="s">
        <v>83</v>
      </c>
      <c r="I424" s="102">
        <v>120</v>
      </c>
      <c r="J424" s="97">
        <v>0</v>
      </c>
      <c r="K424" s="97">
        <f>1208400+331938</f>
        <v>1540338</v>
      </c>
      <c r="L424" s="234">
        <v>1885691.81</v>
      </c>
      <c r="M424" s="234">
        <v>0</v>
      </c>
      <c r="N424" s="234">
        <v>1885691.81</v>
      </c>
      <c r="O424" s="234">
        <v>1885691.81</v>
      </c>
      <c r="P424" s="234">
        <v>0</v>
      </c>
      <c r="Q424" s="234">
        <v>0</v>
      </c>
      <c r="R424" s="234">
        <v>1885691.81</v>
      </c>
      <c r="S424" s="234">
        <v>1885691.81</v>
      </c>
      <c r="T424" s="234">
        <v>1885691.81</v>
      </c>
      <c r="U424" s="234">
        <v>0</v>
      </c>
      <c r="V424" s="234">
        <v>0</v>
      </c>
      <c r="W424" s="234">
        <v>1885691.81</v>
      </c>
      <c r="X424" s="234">
        <v>1885691.81</v>
      </c>
      <c r="Y424" s="234">
        <v>0</v>
      </c>
      <c r="Z424" s="234">
        <v>1885691.81</v>
      </c>
    </row>
    <row r="425" spans="2:26" x14ac:dyDescent="0.2">
      <c r="B425" s="101" t="s">
        <v>224</v>
      </c>
      <c r="C425" s="34" t="s">
        <v>4</v>
      </c>
      <c r="D425" s="10" t="s">
        <v>81</v>
      </c>
      <c r="E425" s="10" t="s">
        <v>83</v>
      </c>
      <c r="F425" s="10" t="s">
        <v>83</v>
      </c>
      <c r="G425" s="10" t="s">
        <v>84</v>
      </c>
      <c r="H425" s="10" t="s">
        <v>83</v>
      </c>
      <c r="I425" s="135"/>
      <c r="J425" s="97">
        <f t="shared" ref="J425:Z425" si="180">J426</f>
        <v>0</v>
      </c>
      <c r="K425" s="97">
        <f t="shared" si="180"/>
        <v>932700</v>
      </c>
      <c r="L425" s="97">
        <f t="shared" si="180"/>
        <v>1448997.83</v>
      </c>
      <c r="M425" s="97">
        <f t="shared" si="180"/>
        <v>0</v>
      </c>
      <c r="N425" s="97">
        <f t="shared" si="180"/>
        <v>1448997.83</v>
      </c>
      <c r="O425" s="98">
        <f t="shared" si="180"/>
        <v>1448997.83</v>
      </c>
      <c r="P425" s="98">
        <f t="shared" si="180"/>
        <v>0</v>
      </c>
      <c r="Q425" s="97">
        <f t="shared" si="180"/>
        <v>0</v>
      </c>
      <c r="R425" s="97">
        <f t="shared" si="180"/>
        <v>1448997.83</v>
      </c>
      <c r="S425" s="98">
        <f t="shared" si="180"/>
        <v>1448997.83</v>
      </c>
      <c r="T425" s="99">
        <f t="shared" si="180"/>
        <v>1448997.83</v>
      </c>
      <c r="U425" s="99">
        <f t="shared" si="180"/>
        <v>0</v>
      </c>
      <c r="V425" s="98">
        <f t="shared" si="180"/>
        <v>0</v>
      </c>
      <c r="W425" s="98">
        <f t="shared" si="180"/>
        <v>1448997.83</v>
      </c>
      <c r="X425" s="99">
        <f t="shared" si="180"/>
        <v>1448997.83</v>
      </c>
      <c r="Y425" s="99">
        <f t="shared" si="180"/>
        <v>0</v>
      </c>
      <c r="Z425" s="99">
        <f t="shared" si="180"/>
        <v>1448997.83</v>
      </c>
    </row>
    <row r="426" spans="2:26" ht="25.5" x14ac:dyDescent="0.2">
      <c r="B426" s="101" t="s">
        <v>29</v>
      </c>
      <c r="C426" s="34" t="s">
        <v>4</v>
      </c>
      <c r="D426" s="10" t="s">
        <v>81</v>
      </c>
      <c r="E426" s="10" t="s">
        <v>83</v>
      </c>
      <c r="F426" s="10" t="s">
        <v>83</v>
      </c>
      <c r="G426" s="10" t="s">
        <v>27</v>
      </c>
      <c r="H426" s="10" t="s">
        <v>83</v>
      </c>
      <c r="I426" s="135"/>
      <c r="J426" s="97">
        <f t="shared" ref="J426:X426" si="181">J427+J429</f>
        <v>0</v>
      </c>
      <c r="K426" s="97">
        <f t="shared" si="181"/>
        <v>932700</v>
      </c>
      <c r="L426" s="97">
        <f t="shared" si="181"/>
        <v>1448997.83</v>
      </c>
      <c r="M426" s="97">
        <f t="shared" si="181"/>
        <v>0</v>
      </c>
      <c r="N426" s="97">
        <f t="shared" si="181"/>
        <v>1448997.83</v>
      </c>
      <c r="O426" s="98">
        <f t="shared" si="181"/>
        <v>1448997.83</v>
      </c>
      <c r="P426" s="98">
        <f t="shared" si="181"/>
        <v>0</v>
      </c>
      <c r="Q426" s="97">
        <f>Q427+Q429</f>
        <v>0</v>
      </c>
      <c r="R426" s="97">
        <f>R427+R429</f>
        <v>1448997.83</v>
      </c>
      <c r="S426" s="98">
        <f t="shared" si="181"/>
        <v>1448997.83</v>
      </c>
      <c r="T426" s="99">
        <f t="shared" si="181"/>
        <v>1448997.83</v>
      </c>
      <c r="U426" s="99">
        <f t="shared" si="181"/>
        <v>0</v>
      </c>
      <c r="V426" s="98">
        <f>V427+V429</f>
        <v>0</v>
      </c>
      <c r="W426" s="98">
        <f>W427+W429</f>
        <v>1448997.83</v>
      </c>
      <c r="X426" s="99">
        <f t="shared" si="181"/>
        <v>1448997.83</v>
      </c>
      <c r="Y426" s="99">
        <f>Y427+Y429</f>
        <v>0</v>
      </c>
      <c r="Z426" s="99">
        <f>Z427+Z429</f>
        <v>1448997.83</v>
      </c>
    </row>
    <row r="427" spans="2:26" ht="51" x14ac:dyDescent="0.2">
      <c r="B427" s="100" t="s">
        <v>57</v>
      </c>
      <c r="C427" s="34" t="s">
        <v>4</v>
      </c>
      <c r="D427" s="10" t="s">
        <v>81</v>
      </c>
      <c r="E427" s="10" t="s">
        <v>83</v>
      </c>
      <c r="F427" s="10" t="s">
        <v>83</v>
      </c>
      <c r="G427" s="10" t="s">
        <v>27</v>
      </c>
      <c r="H427" s="10" t="s">
        <v>83</v>
      </c>
      <c r="I427" s="102">
        <v>100</v>
      </c>
      <c r="J427" s="97">
        <f t="shared" ref="J427:Z427" si="182">J428</f>
        <v>0</v>
      </c>
      <c r="K427" s="97">
        <f t="shared" si="182"/>
        <v>891600</v>
      </c>
      <c r="L427" s="234">
        <f t="shared" si="182"/>
        <v>1407897.83</v>
      </c>
      <c r="M427" s="234">
        <f t="shared" si="182"/>
        <v>0</v>
      </c>
      <c r="N427" s="234">
        <f t="shared" si="182"/>
        <v>1407897.83</v>
      </c>
      <c r="O427" s="234">
        <f t="shared" si="182"/>
        <v>1407897.83</v>
      </c>
      <c r="P427" s="234">
        <f t="shared" si="182"/>
        <v>0</v>
      </c>
      <c r="Q427" s="234">
        <f t="shared" si="182"/>
        <v>0</v>
      </c>
      <c r="R427" s="234">
        <f t="shared" si="182"/>
        <v>1407897.83</v>
      </c>
      <c r="S427" s="234">
        <f t="shared" si="182"/>
        <v>1407897.83</v>
      </c>
      <c r="T427" s="234">
        <f t="shared" si="182"/>
        <v>1407897.83</v>
      </c>
      <c r="U427" s="234">
        <f t="shared" si="182"/>
        <v>0</v>
      </c>
      <c r="V427" s="234">
        <f t="shared" si="182"/>
        <v>0</v>
      </c>
      <c r="W427" s="234">
        <f t="shared" si="182"/>
        <v>1407897.83</v>
      </c>
      <c r="X427" s="234">
        <f t="shared" si="182"/>
        <v>1407897.83</v>
      </c>
      <c r="Y427" s="234">
        <f t="shared" si="182"/>
        <v>0</v>
      </c>
      <c r="Z427" s="234">
        <f t="shared" si="182"/>
        <v>1407897.83</v>
      </c>
    </row>
    <row r="428" spans="2:26" ht="25.5" x14ac:dyDescent="0.2">
      <c r="B428" s="100" t="s">
        <v>51</v>
      </c>
      <c r="C428" s="34" t="s">
        <v>4</v>
      </c>
      <c r="D428" s="10" t="s">
        <v>81</v>
      </c>
      <c r="E428" s="10" t="s">
        <v>83</v>
      </c>
      <c r="F428" s="10" t="s">
        <v>83</v>
      </c>
      <c r="G428" s="10" t="s">
        <v>27</v>
      </c>
      <c r="H428" s="10" t="s">
        <v>83</v>
      </c>
      <c r="I428" s="102">
        <v>120</v>
      </c>
      <c r="J428" s="97">
        <v>0</v>
      </c>
      <c r="K428" s="97">
        <v>891600</v>
      </c>
      <c r="L428" s="234">
        <v>1407897.83</v>
      </c>
      <c r="M428" s="234">
        <v>0</v>
      </c>
      <c r="N428" s="234">
        <v>1407897.83</v>
      </c>
      <c r="O428" s="234">
        <v>1407897.83</v>
      </c>
      <c r="P428" s="234">
        <v>0</v>
      </c>
      <c r="Q428" s="234">
        <v>0</v>
      </c>
      <c r="R428" s="234">
        <v>1407897.83</v>
      </c>
      <c r="S428" s="234">
        <v>1407897.83</v>
      </c>
      <c r="T428" s="234">
        <v>1407897.83</v>
      </c>
      <c r="U428" s="234">
        <v>0</v>
      </c>
      <c r="V428" s="234">
        <v>0</v>
      </c>
      <c r="W428" s="234">
        <v>1407897.83</v>
      </c>
      <c r="X428" s="234">
        <v>1407897.83</v>
      </c>
      <c r="Y428" s="234">
        <v>0</v>
      </c>
      <c r="Z428" s="234">
        <v>1407897.83</v>
      </c>
    </row>
    <row r="429" spans="2:26" ht="25.5" x14ac:dyDescent="0.2">
      <c r="B429" s="100" t="s">
        <v>42</v>
      </c>
      <c r="C429" s="34" t="s">
        <v>4</v>
      </c>
      <c r="D429" s="10" t="s">
        <v>81</v>
      </c>
      <c r="E429" s="10" t="s">
        <v>83</v>
      </c>
      <c r="F429" s="10" t="s">
        <v>83</v>
      </c>
      <c r="G429" s="10" t="s">
        <v>27</v>
      </c>
      <c r="H429" s="10" t="s">
        <v>83</v>
      </c>
      <c r="I429" s="102" t="s">
        <v>43</v>
      </c>
      <c r="J429" s="97">
        <f t="shared" ref="J429:Z429" si="183">J430</f>
        <v>0</v>
      </c>
      <c r="K429" s="97">
        <f t="shared" si="183"/>
        <v>41100</v>
      </c>
      <c r="L429" s="234">
        <f t="shared" si="183"/>
        <v>41100</v>
      </c>
      <c r="M429" s="234">
        <f t="shared" si="183"/>
        <v>0</v>
      </c>
      <c r="N429" s="234">
        <f t="shared" si="183"/>
        <v>41100</v>
      </c>
      <c r="O429" s="234">
        <f t="shared" si="183"/>
        <v>41100</v>
      </c>
      <c r="P429" s="234">
        <f t="shared" si="183"/>
        <v>0</v>
      </c>
      <c r="Q429" s="234">
        <f t="shared" si="183"/>
        <v>0</v>
      </c>
      <c r="R429" s="234">
        <f t="shared" si="183"/>
        <v>41100</v>
      </c>
      <c r="S429" s="234">
        <f t="shared" si="183"/>
        <v>41100</v>
      </c>
      <c r="T429" s="234">
        <f t="shared" si="183"/>
        <v>41100</v>
      </c>
      <c r="U429" s="234">
        <f t="shared" si="183"/>
        <v>0</v>
      </c>
      <c r="V429" s="234">
        <f t="shared" si="183"/>
        <v>0</v>
      </c>
      <c r="W429" s="234">
        <f t="shared" si="183"/>
        <v>41100</v>
      </c>
      <c r="X429" s="234">
        <f t="shared" si="183"/>
        <v>41100</v>
      </c>
      <c r="Y429" s="234">
        <f t="shared" si="183"/>
        <v>0</v>
      </c>
      <c r="Z429" s="234">
        <f t="shared" si="183"/>
        <v>41100</v>
      </c>
    </row>
    <row r="430" spans="2:26" ht="25.5" x14ac:dyDescent="0.2">
      <c r="B430" s="100" t="s">
        <v>44</v>
      </c>
      <c r="C430" s="34" t="s">
        <v>4</v>
      </c>
      <c r="D430" s="10" t="s">
        <v>81</v>
      </c>
      <c r="E430" s="10" t="s">
        <v>83</v>
      </c>
      <c r="F430" s="10" t="s">
        <v>83</v>
      </c>
      <c r="G430" s="10" t="s">
        <v>27</v>
      </c>
      <c r="H430" s="10" t="s">
        <v>83</v>
      </c>
      <c r="I430" s="102">
        <v>240</v>
      </c>
      <c r="J430" s="97">
        <v>0</v>
      </c>
      <c r="K430" s="97">
        <v>41100</v>
      </c>
      <c r="L430" s="235">
        <v>41100</v>
      </c>
      <c r="M430" s="235">
        <v>0</v>
      </c>
      <c r="N430" s="235">
        <v>41100</v>
      </c>
      <c r="O430" s="235">
        <v>41100</v>
      </c>
      <c r="P430" s="235">
        <v>0</v>
      </c>
      <c r="Q430" s="235">
        <v>0</v>
      </c>
      <c r="R430" s="235">
        <v>41100</v>
      </c>
      <c r="S430" s="235">
        <v>41100</v>
      </c>
      <c r="T430" s="235">
        <v>41100</v>
      </c>
      <c r="U430" s="235">
        <v>0</v>
      </c>
      <c r="V430" s="235">
        <v>0</v>
      </c>
      <c r="W430" s="235">
        <v>41100</v>
      </c>
      <c r="X430" s="235">
        <v>41100</v>
      </c>
      <c r="Y430" s="235">
        <v>0</v>
      </c>
      <c r="Z430" s="235">
        <v>41100</v>
      </c>
    </row>
    <row r="431" spans="2:26" ht="25.5" hidden="1" x14ac:dyDescent="0.2">
      <c r="B431" s="101" t="s">
        <v>29</v>
      </c>
      <c r="C431" s="39" t="s">
        <v>4</v>
      </c>
      <c r="D431" s="16" t="s">
        <v>83</v>
      </c>
      <c r="E431" s="16" t="s">
        <v>83</v>
      </c>
      <c r="F431" s="16" t="s">
        <v>83</v>
      </c>
      <c r="G431" s="16" t="s">
        <v>27</v>
      </c>
      <c r="H431" s="10" t="s">
        <v>83</v>
      </c>
      <c r="I431" s="102"/>
      <c r="J431" s="97">
        <f>J432+J434</f>
        <v>2141100</v>
      </c>
      <c r="K431" s="97">
        <f>K432+K434</f>
        <v>-2141100</v>
      </c>
      <c r="L431" s="97">
        <v>0</v>
      </c>
      <c r="M431" s="97">
        <v>0</v>
      </c>
      <c r="N431" s="97">
        <v>0</v>
      </c>
      <c r="O431" s="98">
        <f t="shared" ref="O431:X431" si="184">O432+O434</f>
        <v>0</v>
      </c>
      <c r="P431" s="98">
        <f t="shared" si="184"/>
        <v>0</v>
      </c>
      <c r="Q431" s="97">
        <v>0</v>
      </c>
      <c r="R431" s="97">
        <v>0</v>
      </c>
      <c r="S431" s="98">
        <f t="shared" si="184"/>
        <v>0</v>
      </c>
      <c r="T431" s="99">
        <f t="shared" si="184"/>
        <v>0</v>
      </c>
      <c r="U431" s="99">
        <f t="shared" si="184"/>
        <v>0</v>
      </c>
      <c r="V431" s="98">
        <f>V432+V434</f>
        <v>0</v>
      </c>
      <c r="W431" s="98">
        <f>W432+W434</f>
        <v>0</v>
      </c>
      <c r="X431" s="99">
        <f t="shared" si="184"/>
        <v>0</v>
      </c>
      <c r="Y431" s="99">
        <f>Y432+Y434</f>
        <v>0</v>
      </c>
      <c r="Z431" s="99">
        <f>Z432+Z434</f>
        <v>0</v>
      </c>
    </row>
    <row r="432" spans="2:26" ht="51" hidden="1" x14ac:dyDescent="0.2">
      <c r="B432" s="100" t="s">
        <v>57</v>
      </c>
      <c r="C432" s="39" t="s">
        <v>4</v>
      </c>
      <c r="D432" s="16" t="s">
        <v>83</v>
      </c>
      <c r="E432" s="16" t="s">
        <v>83</v>
      </c>
      <c r="F432" s="16" t="s">
        <v>83</v>
      </c>
      <c r="G432" s="16" t="s">
        <v>27</v>
      </c>
      <c r="H432" s="10" t="s">
        <v>83</v>
      </c>
      <c r="I432" s="102">
        <v>100</v>
      </c>
      <c r="J432" s="97">
        <f t="shared" ref="J432:Z432" si="185">J433</f>
        <v>2100000</v>
      </c>
      <c r="K432" s="97">
        <f t="shared" si="185"/>
        <v>-2100000</v>
      </c>
      <c r="L432" s="97">
        <f t="shared" si="185"/>
        <v>0</v>
      </c>
      <c r="M432" s="97">
        <f t="shared" si="185"/>
        <v>-2100000</v>
      </c>
      <c r="N432" s="97">
        <f t="shared" si="185"/>
        <v>-2100000</v>
      </c>
      <c r="O432" s="98">
        <f t="shared" si="185"/>
        <v>0</v>
      </c>
      <c r="P432" s="98">
        <f t="shared" si="185"/>
        <v>0</v>
      </c>
      <c r="Q432" s="97">
        <f t="shared" si="185"/>
        <v>0</v>
      </c>
      <c r="R432" s="97">
        <f t="shared" si="185"/>
        <v>0</v>
      </c>
      <c r="S432" s="98">
        <f t="shared" si="185"/>
        <v>0</v>
      </c>
      <c r="T432" s="99">
        <f t="shared" si="185"/>
        <v>0</v>
      </c>
      <c r="U432" s="99">
        <f t="shared" si="185"/>
        <v>0</v>
      </c>
      <c r="V432" s="98">
        <f t="shared" si="185"/>
        <v>0</v>
      </c>
      <c r="W432" s="98">
        <f t="shared" si="185"/>
        <v>0</v>
      </c>
      <c r="X432" s="99">
        <f t="shared" si="185"/>
        <v>0</v>
      </c>
      <c r="Y432" s="99">
        <f t="shared" si="185"/>
        <v>0</v>
      </c>
      <c r="Z432" s="99">
        <f t="shared" si="185"/>
        <v>0</v>
      </c>
    </row>
    <row r="433" spans="2:26" ht="25.5" hidden="1" x14ac:dyDescent="0.2">
      <c r="B433" s="100" t="s">
        <v>51</v>
      </c>
      <c r="C433" s="39" t="s">
        <v>4</v>
      </c>
      <c r="D433" s="16" t="s">
        <v>83</v>
      </c>
      <c r="E433" s="16" t="s">
        <v>83</v>
      </c>
      <c r="F433" s="16" t="s">
        <v>83</v>
      </c>
      <c r="G433" s="16" t="s">
        <v>27</v>
      </c>
      <c r="H433" s="10" t="s">
        <v>83</v>
      </c>
      <c r="I433" s="102">
        <v>120</v>
      </c>
      <c r="J433" s="97">
        <v>2100000</v>
      </c>
      <c r="K433" s="97">
        <v>-2100000</v>
      </c>
      <c r="L433" s="97">
        <f>K433+J433</f>
        <v>0</v>
      </c>
      <c r="M433" s="97">
        <f>L433+K433</f>
        <v>-2100000</v>
      </c>
      <c r="N433" s="97">
        <f>M433+L433</f>
        <v>-2100000</v>
      </c>
      <c r="O433" s="98">
        <v>0</v>
      </c>
      <c r="P433" s="98">
        <v>0</v>
      </c>
      <c r="Q433" s="97">
        <f>P433+O433</f>
        <v>0</v>
      </c>
      <c r="R433" s="97">
        <f>Q433+P433</f>
        <v>0</v>
      </c>
      <c r="S433" s="98">
        <v>0</v>
      </c>
      <c r="T433" s="99">
        <v>0</v>
      </c>
      <c r="U433" s="99">
        <v>0</v>
      </c>
      <c r="V433" s="98">
        <v>0</v>
      </c>
      <c r="W433" s="98">
        <v>0</v>
      </c>
      <c r="X433" s="99">
        <v>0</v>
      </c>
      <c r="Y433" s="99">
        <v>0</v>
      </c>
      <c r="Z433" s="99">
        <v>0</v>
      </c>
    </row>
    <row r="434" spans="2:26" ht="25.5" hidden="1" x14ac:dyDescent="0.2">
      <c r="B434" s="100" t="s">
        <v>42</v>
      </c>
      <c r="C434" s="39" t="s">
        <v>4</v>
      </c>
      <c r="D434" s="16" t="s">
        <v>83</v>
      </c>
      <c r="E434" s="16" t="s">
        <v>83</v>
      </c>
      <c r="F434" s="16" t="s">
        <v>83</v>
      </c>
      <c r="G434" s="16" t="s">
        <v>27</v>
      </c>
      <c r="H434" s="10" t="s">
        <v>83</v>
      </c>
      <c r="I434" s="102">
        <v>200</v>
      </c>
      <c r="J434" s="97">
        <f>J435</f>
        <v>41100</v>
      </c>
      <c r="K434" s="97">
        <f>K435</f>
        <v>-41100</v>
      </c>
      <c r="L434" s="97">
        <f>L435</f>
        <v>0</v>
      </c>
      <c r="M434" s="97">
        <f>M435</f>
        <v>-41100</v>
      </c>
      <c r="N434" s="97">
        <f>N435</f>
        <v>-41100</v>
      </c>
      <c r="O434" s="98">
        <v>0</v>
      </c>
      <c r="P434" s="98">
        <v>0</v>
      </c>
      <c r="Q434" s="97">
        <f>Q435</f>
        <v>0</v>
      </c>
      <c r="R434" s="97">
        <f>R435</f>
        <v>0</v>
      </c>
      <c r="S434" s="98">
        <v>0</v>
      </c>
      <c r="T434" s="99">
        <f>T435</f>
        <v>0</v>
      </c>
      <c r="U434" s="99">
        <f>U435</f>
        <v>0</v>
      </c>
      <c r="V434" s="98">
        <v>0</v>
      </c>
      <c r="W434" s="98">
        <v>0</v>
      </c>
      <c r="X434" s="99">
        <f>X435</f>
        <v>0</v>
      </c>
      <c r="Y434" s="99">
        <f>Y435</f>
        <v>0</v>
      </c>
      <c r="Z434" s="99">
        <f>Z435</f>
        <v>0</v>
      </c>
    </row>
    <row r="435" spans="2:26" ht="25.5" hidden="1" x14ac:dyDescent="0.2">
      <c r="B435" s="169" t="s">
        <v>44</v>
      </c>
      <c r="C435" s="194" t="s">
        <v>4</v>
      </c>
      <c r="D435" s="49" t="s">
        <v>83</v>
      </c>
      <c r="E435" s="49" t="s">
        <v>83</v>
      </c>
      <c r="F435" s="49" t="s">
        <v>83</v>
      </c>
      <c r="G435" s="49" t="s">
        <v>27</v>
      </c>
      <c r="H435" s="26" t="s">
        <v>83</v>
      </c>
      <c r="I435" s="196">
        <v>240</v>
      </c>
      <c r="J435" s="153">
        <v>41100</v>
      </c>
      <c r="K435" s="153">
        <v>-41100</v>
      </c>
      <c r="L435" s="153">
        <f>K435+J435</f>
        <v>0</v>
      </c>
      <c r="M435" s="153">
        <f>L435+K435</f>
        <v>-41100</v>
      </c>
      <c r="N435" s="153">
        <f>M435+L435</f>
        <v>-41100</v>
      </c>
      <c r="O435" s="154">
        <v>0</v>
      </c>
      <c r="P435" s="154">
        <v>0</v>
      </c>
      <c r="Q435" s="153">
        <f>P435+O435</f>
        <v>0</v>
      </c>
      <c r="R435" s="153">
        <f>Q435+P435</f>
        <v>0</v>
      </c>
      <c r="S435" s="154">
        <v>0</v>
      </c>
      <c r="T435" s="155">
        <v>0</v>
      </c>
      <c r="U435" s="155">
        <v>0</v>
      </c>
      <c r="V435" s="154">
        <v>0</v>
      </c>
      <c r="W435" s="154">
        <v>0</v>
      </c>
      <c r="X435" s="155">
        <v>0</v>
      </c>
      <c r="Y435" s="155">
        <v>0</v>
      </c>
      <c r="Z435" s="155">
        <v>0</v>
      </c>
    </row>
    <row r="436" spans="2:26" x14ac:dyDescent="0.2">
      <c r="B436" s="156"/>
      <c r="C436" s="206"/>
      <c r="D436" s="207"/>
      <c r="E436" s="207"/>
      <c r="F436" s="207"/>
      <c r="G436" s="207"/>
      <c r="H436" s="208"/>
      <c r="I436" s="131"/>
      <c r="J436" s="199"/>
      <c r="K436" s="200"/>
      <c r="L436" s="200"/>
      <c r="M436" s="200"/>
      <c r="N436" s="200"/>
      <c r="O436" s="201"/>
      <c r="P436" s="201"/>
      <c r="Q436" s="200"/>
      <c r="R436" s="200"/>
      <c r="S436" s="201"/>
      <c r="T436" s="202"/>
      <c r="U436" s="202"/>
      <c r="V436" s="201"/>
      <c r="W436" s="201"/>
      <c r="X436" s="202"/>
      <c r="Y436" s="202"/>
      <c r="Z436" s="202"/>
    </row>
    <row r="437" spans="2:26" ht="31.5" x14ac:dyDescent="0.2">
      <c r="B437" s="86" t="s">
        <v>31</v>
      </c>
      <c r="C437" s="191" t="s">
        <v>5</v>
      </c>
      <c r="D437" s="115" t="s">
        <v>83</v>
      </c>
      <c r="E437" s="115" t="s">
        <v>83</v>
      </c>
      <c r="F437" s="115" t="s">
        <v>83</v>
      </c>
      <c r="G437" s="115" t="s">
        <v>84</v>
      </c>
      <c r="H437" s="116" t="s">
        <v>83</v>
      </c>
      <c r="I437" s="102"/>
      <c r="J437" s="83" t="e">
        <f>J446+J451+#REF!+J438+J456+#REF!</f>
        <v>#REF!</v>
      </c>
      <c r="K437" s="84" t="e">
        <f>K446+K451+#REF!+K438+K456+#REF!</f>
        <v>#REF!</v>
      </c>
      <c r="L437" s="85">
        <f t="shared" ref="L437:Z437" si="186">L446+L451+L438+L456+L461+L441</f>
        <v>145688585.63000003</v>
      </c>
      <c r="M437" s="85">
        <f t="shared" si="186"/>
        <v>-9618006.0600000005</v>
      </c>
      <c r="N437" s="85">
        <f t="shared" si="186"/>
        <v>136070579.57000002</v>
      </c>
      <c r="O437" s="85">
        <f t="shared" si="186"/>
        <v>145681987.98000002</v>
      </c>
      <c r="P437" s="85">
        <f t="shared" si="186"/>
        <v>-9617753.5299999993</v>
      </c>
      <c r="Q437" s="85">
        <f t="shared" si="186"/>
        <v>-2426857.17</v>
      </c>
      <c r="R437" s="85">
        <f t="shared" si="186"/>
        <v>133643722.40000004</v>
      </c>
      <c r="S437" s="85">
        <f t="shared" si="186"/>
        <v>136064234.45000005</v>
      </c>
      <c r="T437" s="85">
        <f t="shared" si="186"/>
        <v>145843112</v>
      </c>
      <c r="U437" s="85">
        <f t="shared" si="186"/>
        <v>-9481962.5800000001</v>
      </c>
      <c r="V437" s="85">
        <f t="shared" si="186"/>
        <v>0</v>
      </c>
      <c r="W437" s="85">
        <f t="shared" si="186"/>
        <v>136064234.45000002</v>
      </c>
      <c r="X437" s="85">
        <f t="shared" si="186"/>
        <v>136361149.42000005</v>
      </c>
      <c r="Y437" s="85">
        <f t="shared" si="186"/>
        <v>0</v>
      </c>
      <c r="Z437" s="85">
        <f t="shared" si="186"/>
        <v>136361149.42000002</v>
      </c>
    </row>
    <row r="438" spans="2:26" ht="63.75" x14ac:dyDescent="0.2">
      <c r="B438" s="100" t="s">
        <v>203</v>
      </c>
      <c r="C438" s="34" t="s">
        <v>5</v>
      </c>
      <c r="D438" s="10" t="s">
        <v>83</v>
      </c>
      <c r="E438" s="10" t="s">
        <v>83</v>
      </c>
      <c r="F438" s="10" t="s">
        <v>83</v>
      </c>
      <c r="G438" s="10" t="s">
        <v>128</v>
      </c>
      <c r="H438" s="11" t="s">
        <v>85</v>
      </c>
      <c r="I438" s="102"/>
      <c r="J438" s="40">
        <f t="shared" ref="J438:Y439" si="187">J439</f>
        <v>141147.63</v>
      </c>
      <c r="K438" s="97">
        <f t="shared" si="187"/>
        <v>0</v>
      </c>
      <c r="L438" s="104">
        <f t="shared" si="187"/>
        <v>1040.97</v>
      </c>
      <c r="M438" s="104">
        <f t="shared" si="187"/>
        <v>2602.4299999999998</v>
      </c>
      <c r="N438" s="104">
        <f t="shared" si="187"/>
        <v>3643.3999999999996</v>
      </c>
      <c r="O438" s="104">
        <f t="shared" si="187"/>
        <v>928.54</v>
      </c>
      <c r="P438" s="104">
        <f t="shared" si="187"/>
        <v>2854.96</v>
      </c>
      <c r="Q438" s="104">
        <f t="shared" si="187"/>
        <v>0</v>
      </c>
      <c r="R438" s="104">
        <f t="shared" si="187"/>
        <v>3643.4</v>
      </c>
      <c r="S438" s="104">
        <f t="shared" si="187"/>
        <v>3783.5</v>
      </c>
      <c r="T438" s="105">
        <f t="shared" si="187"/>
        <v>928.58</v>
      </c>
      <c r="U438" s="105">
        <f t="shared" si="187"/>
        <v>138645.91</v>
      </c>
      <c r="V438" s="104">
        <f t="shared" si="187"/>
        <v>0</v>
      </c>
      <c r="W438" s="104">
        <f t="shared" si="187"/>
        <v>3783.5</v>
      </c>
      <c r="X438" s="105">
        <f t="shared" si="187"/>
        <v>139574.49</v>
      </c>
      <c r="Y438" s="105">
        <f t="shared" si="187"/>
        <v>0</v>
      </c>
      <c r="Z438" s="105">
        <f>Z439</f>
        <v>139574.49</v>
      </c>
    </row>
    <row r="439" spans="2:26" ht="25.5" x14ac:dyDescent="0.2">
      <c r="B439" s="100" t="s">
        <v>42</v>
      </c>
      <c r="C439" s="34" t="s">
        <v>5</v>
      </c>
      <c r="D439" s="10" t="s">
        <v>83</v>
      </c>
      <c r="E439" s="10" t="s">
        <v>83</v>
      </c>
      <c r="F439" s="10" t="s">
        <v>83</v>
      </c>
      <c r="G439" s="10" t="s">
        <v>128</v>
      </c>
      <c r="H439" s="11" t="s">
        <v>85</v>
      </c>
      <c r="I439" s="102" t="s">
        <v>43</v>
      </c>
      <c r="J439" s="40">
        <f t="shared" si="187"/>
        <v>141147.63</v>
      </c>
      <c r="K439" s="97">
        <f t="shared" si="187"/>
        <v>0</v>
      </c>
      <c r="L439" s="104">
        <f t="shared" si="187"/>
        <v>1040.97</v>
      </c>
      <c r="M439" s="104">
        <f t="shared" si="187"/>
        <v>2602.4299999999998</v>
      </c>
      <c r="N439" s="104">
        <f t="shared" si="187"/>
        <v>3643.3999999999996</v>
      </c>
      <c r="O439" s="104">
        <f t="shared" si="187"/>
        <v>928.54</v>
      </c>
      <c r="P439" s="104">
        <f t="shared" si="187"/>
        <v>2854.96</v>
      </c>
      <c r="Q439" s="104">
        <f t="shared" si="187"/>
        <v>0</v>
      </c>
      <c r="R439" s="104">
        <f t="shared" si="187"/>
        <v>3643.4</v>
      </c>
      <c r="S439" s="104">
        <f t="shared" si="187"/>
        <v>3783.5</v>
      </c>
      <c r="T439" s="105">
        <f t="shared" si="187"/>
        <v>928.58</v>
      </c>
      <c r="U439" s="105">
        <f t="shared" si="187"/>
        <v>138645.91</v>
      </c>
      <c r="V439" s="104">
        <f t="shared" si="187"/>
        <v>0</v>
      </c>
      <c r="W439" s="104">
        <f t="shared" si="187"/>
        <v>3783.5</v>
      </c>
      <c r="X439" s="105">
        <f t="shared" si="187"/>
        <v>139574.49</v>
      </c>
      <c r="Y439" s="105">
        <f>Y440</f>
        <v>0</v>
      </c>
      <c r="Z439" s="105">
        <f>Z440</f>
        <v>139574.49</v>
      </c>
    </row>
    <row r="440" spans="2:26" ht="25.5" x14ac:dyDescent="0.2">
      <c r="B440" s="100" t="s">
        <v>44</v>
      </c>
      <c r="C440" s="34" t="s">
        <v>5</v>
      </c>
      <c r="D440" s="10" t="s">
        <v>83</v>
      </c>
      <c r="E440" s="10" t="s">
        <v>83</v>
      </c>
      <c r="F440" s="10" t="s">
        <v>83</v>
      </c>
      <c r="G440" s="10" t="s">
        <v>128</v>
      </c>
      <c r="H440" s="11" t="s">
        <v>85</v>
      </c>
      <c r="I440" s="102" t="s">
        <v>45</v>
      </c>
      <c r="J440" s="40">
        <v>141147.63</v>
      </c>
      <c r="K440" s="97">
        <v>0</v>
      </c>
      <c r="L440" s="104">
        <v>1040.97</v>
      </c>
      <c r="M440" s="104">
        <v>2602.4299999999998</v>
      </c>
      <c r="N440" s="104">
        <f>M440+L440</f>
        <v>3643.3999999999996</v>
      </c>
      <c r="O440" s="12">
        <v>928.54</v>
      </c>
      <c r="P440" s="104">
        <v>2854.96</v>
      </c>
      <c r="Q440" s="104">
        <v>0</v>
      </c>
      <c r="R440" s="104">
        <v>3643.4</v>
      </c>
      <c r="S440" s="104">
        <f>P440+O440</f>
        <v>3783.5</v>
      </c>
      <c r="T440" s="104">
        <v>928.58</v>
      </c>
      <c r="U440" s="104">
        <v>138645.91</v>
      </c>
      <c r="V440" s="104">
        <v>0</v>
      </c>
      <c r="W440" s="104">
        <v>3783.5</v>
      </c>
      <c r="X440" s="104">
        <f>U440+T440</f>
        <v>139574.49</v>
      </c>
      <c r="Y440" s="104">
        <v>0</v>
      </c>
      <c r="Z440" s="104">
        <v>139574.49</v>
      </c>
    </row>
    <row r="441" spans="2:26" ht="25.5" x14ac:dyDescent="0.2">
      <c r="B441" s="259" t="s">
        <v>29</v>
      </c>
      <c r="C441" s="16" t="s">
        <v>5</v>
      </c>
      <c r="D441" s="16" t="s">
        <v>83</v>
      </c>
      <c r="E441" s="16" t="s">
        <v>83</v>
      </c>
      <c r="F441" s="16" t="s">
        <v>83</v>
      </c>
      <c r="G441" s="16" t="s">
        <v>27</v>
      </c>
      <c r="H441" s="11" t="s">
        <v>83</v>
      </c>
      <c r="I441" s="102"/>
      <c r="J441" s="40">
        <f>J442+J444+J446</f>
        <v>58470400</v>
      </c>
      <c r="K441" s="97">
        <f>K442+K444+K446</f>
        <v>0</v>
      </c>
      <c r="L441" s="97">
        <f t="shared" ref="L441:X441" si="188">L442+L444</f>
        <v>141068292.14000002</v>
      </c>
      <c r="M441" s="97">
        <f t="shared" si="188"/>
        <v>-9620608.4900000002</v>
      </c>
      <c r="N441" s="97">
        <f t="shared" si="188"/>
        <v>131447683.65000004</v>
      </c>
      <c r="O441" s="98">
        <f t="shared" si="188"/>
        <v>141068292.14000002</v>
      </c>
      <c r="P441" s="98">
        <f t="shared" si="188"/>
        <v>-9620608.4900000002</v>
      </c>
      <c r="Q441" s="97">
        <f>Q442+Q444</f>
        <v>-2426857.17</v>
      </c>
      <c r="R441" s="97">
        <f>R442+R444</f>
        <v>129020826.48000003</v>
      </c>
      <c r="S441" s="98">
        <f t="shared" si="188"/>
        <v>131447683.65000004</v>
      </c>
      <c r="T441" s="98">
        <f t="shared" si="188"/>
        <v>141068292.14000002</v>
      </c>
      <c r="U441" s="98">
        <f t="shared" si="188"/>
        <v>-9620608.4900000002</v>
      </c>
      <c r="V441" s="98">
        <f>V442+V444</f>
        <v>0</v>
      </c>
      <c r="W441" s="98">
        <f>W442+W444</f>
        <v>131447683.65000001</v>
      </c>
      <c r="X441" s="98">
        <f t="shared" si="188"/>
        <v>131447683.65000004</v>
      </c>
      <c r="Y441" s="98">
        <f>Y442+Y444</f>
        <v>0</v>
      </c>
      <c r="Z441" s="98">
        <f>Z442+Z444</f>
        <v>131447683.65000001</v>
      </c>
    </row>
    <row r="442" spans="2:26" ht="51" x14ac:dyDescent="0.2">
      <c r="B442" s="250" t="s">
        <v>57</v>
      </c>
      <c r="C442" s="16" t="s">
        <v>5</v>
      </c>
      <c r="D442" s="16" t="s">
        <v>83</v>
      </c>
      <c r="E442" s="16" t="s">
        <v>83</v>
      </c>
      <c r="F442" s="16" t="s">
        <v>83</v>
      </c>
      <c r="G442" s="16" t="s">
        <v>27</v>
      </c>
      <c r="H442" s="11" t="s">
        <v>83</v>
      </c>
      <c r="I442" s="102">
        <v>100</v>
      </c>
      <c r="J442" s="40">
        <f t="shared" ref="J442:Z442" si="189">J443</f>
        <v>56196500</v>
      </c>
      <c r="K442" s="97">
        <f t="shared" si="189"/>
        <v>0</v>
      </c>
      <c r="L442" s="104">
        <f t="shared" si="189"/>
        <v>136853539.97000003</v>
      </c>
      <c r="M442" s="104">
        <f t="shared" si="189"/>
        <v>-9620608.4900000002</v>
      </c>
      <c r="N442" s="104">
        <f t="shared" si="189"/>
        <v>127232931.48000003</v>
      </c>
      <c r="O442" s="104">
        <f t="shared" si="189"/>
        <v>136853539.97000003</v>
      </c>
      <c r="P442" s="104">
        <f t="shared" si="189"/>
        <v>-9620608.4900000002</v>
      </c>
      <c r="Q442" s="104">
        <f t="shared" si="189"/>
        <v>-2426857.17</v>
      </c>
      <c r="R442" s="104">
        <f t="shared" si="189"/>
        <v>124806074.31000003</v>
      </c>
      <c r="S442" s="104">
        <f t="shared" si="189"/>
        <v>127232931.48000003</v>
      </c>
      <c r="T442" s="104">
        <f t="shared" si="189"/>
        <v>136853539.97000003</v>
      </c>
      <c r="U442" s="104">
        <f t="shared" si="189"/>
        <v>-9620608.4900000002</v>
      </c>
      <c r="V442" s="104">
        <f t="shared" si="189"/>
        <v>0</v>
      </c>
      <c r="W442" s="104">
        <f t="shared" si="189"/>
        <v>127232931.48</v>
      </c>
      <c r="X442" s="104">
        <f t="shared" si="189"/>
        <v>127232931.48000003</v>
      </c>
      <c r="Y442" s="104">
        <f t="shared" si="189"/>
        <v>0</v>
      </c>
      <c r="Z442" s="104">
        <f t="shared" si="189"/>
        <v>127232931.48</v>
      </c>
    </row>
    <row r="443" spans="2:26" ht="25.5" x14ac:dyDescent="0.2">
      <c r="B443" s="250" t="s">
        <v>51</v>
      </c>
      <c r="C443" s="16" t="s">
        <v>5</v>
      </c>
      <c r="D443" s="16" t="s">
        <v>83</v>
      </c>
      <c r="E443" s="16" t="s">
        <v>83</v>
      </c>
      <c r="F443" s="16" t="s">
        <v>83</v>
      </c>
      <c r="G443" s="16" t="s">
        <v>27</v>
      </c>
      <c r="H443" s="11" t="s">
        <v>83</v>
      </c>
      <c r="I443" s="102">
        <v>120</v>
      </c>
      <c r="J443" s="40">
        <f>38788800+17407700</f>
        <v>56196500</v>
      </c>
      <c r="K443" s="97">
        <v>0</v>
      </c>
      <c r="L443" s="98">
        <f>69781280.98+430000+21073946.85+17152334.84+28415977.3</f>
        <v>136853539.97000003</v>
      </c>
      <c r="M443" s="98">
        <v>-9620608.4900000002</v>
      </c>
      <c r="N443" s="98">
        <f>M443+L443</f>
        <v>127232931.48000003</v>
      </c>
      <c r="O443" s="98">
        <f>69781280.98+430000+21073946.85+17152334.84+28415977.3</f>
        <v>136853539.97000003</v>
      </c>
      <c r="P443" s="98">
        <v>-9620608.4900000002</v>
      </c>
      <c r="Q443" s="98">
        <v>-2426857.17</v>
      </c>
      <c r="R443" s="98">
        <f>Q443+N443</f>
        <v>124806074.31000003</v>
      </c>
      <c r="S443" s="98">
        <f>P443+O443</f>
        <v>127232931.48000003</v>
      </c>
      <c r="T443" s="98">
        <f>69781280.98+430000+21073946.85+17152334.84+28415977.3</f>
        <v>136853539.97000003</v>
      </c>
      <c r="U443" s="98">
        <v>-9620608.4900000002</v>
      </c>
      <c r="V443" s="98">
        <v>0</v>
      </c>
      <c r="W443" s="98">
        <v>127232931.48</v>
      </c>
      <c r="X443" s="98">
        <f>U443+T443</f>
        <v>127232931.48000003</v>
      </c>
      <c r="Y443" s="98">
        <v>0</v>
      </c>
      <c r="Z443" s="98">
        <f>W443+V443</f>
        <v>127232931.48</v>
      </c>
    </row>
    <row r="444" spans="2:26" ht="25.5" x14ac:dyDescent="0.2">
      <c r="B444" s="250" t="s">
        <v>42</v>
      </c>
      <c r="C444" s="16" t="s">
        <v>5</v>
      </c>
      <c r="D444" s="16" t="s">
        <v>83</v>
      </c>
      <c r="E444" s="16" t="s">
        <v>83</v>
      </c>
      <c r="F444" s="16" t="s">
        <v>83</v>
      </c>
      <c r="G444" s="16" t="s">
        <v>27</v>
      </c>
      <c r="H444" s="11" t="s">
        <v>83</v>
      </c>
      <c r="I444" s="102">
        <v>200</v>
      </c>
      <c r="J444" s="40">
        <f t="shared" ref="J444:Z444" si="190">J445</f>
        <v>2245900</v>
      </c>
      <c r="K444" s="97">
        <f t="shared" si="190"/>
        <v>0</v>
      </c>
      <c r="L444" s="98">
        <f t="shared" si="190"/>
        <v>4214752.17</v>
      </c>
      <c r="M444" s="98">
        <f t="shared" si="190"/>
        <v>0</v>
      </c>
      <c r="N444" s="98">
        <f t="shared" si="190"/>
        <v>4214752.17</v>
      </c>
      <c r="O444" s="98">
        <f t="shared" si="190"/>
        <v>4214752.17</v>
      </c>
      <c r="P444" s="98">
        <f t="shared" si="190"/>
        <v>0</v>
      </c>
      <c r="Q444" s="98">
        <f t="shared" si="190"/>
        <v>0</v>
      </c>
      <c r="R444" s="98">
        <f t="shared" si="190"/>
        <v>4214752.17</v>
      </c>
      <c r="S444" s="98">
        <f t="shared" si="190"/>
        <v>4214752.17</v>
      </c>
      <c r="T444" s="98">
        <f t="shared" si="190"/>
        <v>4214752.17</v>
      </c>
      <c r="U444" s="98">
        <f t="shared" si="190"/>
        <v>0</v>
      </c>
      <c r="V444" s="98">
        <f t="shared" si="190"/>
        <v>0</v>
      </c>
      <c r="W444" s="98">
        <f t="shared" si="190"/>
        <v>4214752.17</v>
      </c>
      <c r="X444" s="98">
        <f t="shared" si="190"/>
        <v>4214752.17</v>
      </c>
      <c r="Y444" s="98">
        <f t="shared" si="190"/>
        <v>0</v>
      </c>
      <c r="Z444" s="98">
        <f t="shared" si="190"/>
        <v>4214752.17</v>
      </c>
    </row>
    <row r="445" spans="2:26" ht="25.5" x14ac:dyDescent="0.2">
      <c r="B445" s="250" t="s">
        <v>44</v>
      </c>
      <c r="C445" s="16" t="s">
        <v>5</v>
      </c>
      <c r="D445" s="16" t="s">
        <v>83</v>
      </c>
      <c r="E445" s="16" t="s">
        <v>83</v>
      </c>
      <c r="F445" s="16" t="s">
        <v>83</v>
      </c>
      <c r="G445" s="16" t="s">
        <v>27</v>
      </c>
      <c r="H445" s="11" t="s">
        <v>83</v>
      </c>
      <c r="I445" s="102">
        <v>240</v>
      </c>
      <c r="J445" s="40">
        <f>1753900+7000+485000</f>
        <v>2245900</v>
      </c>
      <c r="K445" s="97">
        <v>0</v>
      </c>
      <c r="L445" s="98">
        <f>3230502.17+499250+485000</f>
        <v>4214752.17</v>
      </c>
      <c r="M445" s="98">
        <v>0</v>
      </c>
      <c r="N445" s="98">
        <f>3230502.17+499250+485000</f>
        <v>4214752.17</v>
      </c>
      <c r="O445" s="98">
        <f>3230502.17+499250+485000</f>
        <v>4214752.17</v>
      </c>
      <c r="P445" s="98">
        <v>0</v>
      </c>
      <c r="Q445" s="98">
        <v>0</v>
      </c>
      <c r="R445" s="98">
        <f>3230502.17+499250+485000</f>
        <v>4214752.17</v>
      </c>
      <c r="S445" s="98">
        <f>3230502.17+499250+485000</f>
        <v>4214752.17</v>
      </c>
      <c r="T445" s="98">
        <f>3230502.17+499250+485000</f>
        <v>4214752.17</v>
      </c>
      <c r="U445" s="98">
        <v>0</v>
      </c>
      <c r="V445" s="98">
        <v>0</v>
      </c>
      <c r="W445" s="98">
        <f>3230502.17+499250+485000</f>
        <v>4214752.17</v>
      </c>
      <c r="X445" s="98">
        <f>3230502.17+499250+485000</f>
        <v>4214752.17</v>
      </c>
      <c r="Y445" s="98">
        <v>0</v>
      </c>
      <c r="Z445" s="98">
        <f>3230502.17+499250+485000</f>
        <v>4214752.17</v>
      </c>
    </row>
    <row r="446" spans="2:26" ht="76.5" x14ac:dyDescent="0.2">
      <c r="B446" s="100" t="s">
        <v>214</v>
      </c>
      <c r="C446" s="39" t="s">
        <v>5</v>
      </c>
      <c r="D446" s="16" t="s">
        <v>83</v>
      </c>
      <c r="E446" s="16" t="s">
        <v>83</v>
      </c>
      <c r="F446" s="16" t="s">
        <v>83</v>
      </c>
      <c r="G446" s="16" t="s">
        <v>215</v>
      </c>
      <c r="H446" s="11" t="s">
        <v>83</v>
      </c>
      <c r="I446" s="102"/>
      <c r="J446" s="40">
        <f t="shared" ref="J446:X446" si="191">J447+J449</f>
        <v>28000</v>
      </c>
      <c r="K446" s="97">
        <f t="shared" si="191"/>
        <v>0</v>
      </c>
      <c r="L446" s="97">
        <f t="shared" si="191"/>
        <v>21000</v>
      </c>
      <c r="M446" s="97">
        <f t="shared" si="191"/>
        <v>0</v>
      </c>
      <c r="N446" s="97">
        <f t="shared" si="191"/>
        <v>21000</v>
      </c>
      <c r="O446" s="98">
        <f t="shared" si="191"/>
        <v>21000</v>
      </c>
      <c r="P446" s="98">
        <f t="shared" si="191"/>
        <v>0</v>
      </c>
      <c r="Q446" s="97">
        <f>Q447+Q449</f>
        <v>0</v>
      </c>
      <c r="R446" s="97">
        <f>R447+R449</f>
        <v>21000</v>
      </c>
      <c r="S446" s="98">
        <f t="shared" si="191"/>
        <v>21000</v>
      </c>
      <c r="T446" s="99">
        <f t="shared" si="191"/>
        <v>21000</v>
      </c>
      <c r="U446" s="99">
        <f t="shared" si="191"/>
        <v>0</v>
      </c>
      <c r="V446" s="98">
        <f>V447+V449</f>
        <v>0</v>
      </c>
      <c r="W446" s="98">
        <f>W447+W449</f>
        <v>21000</v>
      </c>
      <c r="X446" s="99">
        <f t="shared" si="191"/>
        <v>21000</v>
      </c>
      <c r="Y446" s="99">
        <f>Y447+Y449</f>
        <v>0</v>
      </c>
      <c r="Z446" s="99">
        <f>Z447+Z449</f>
        <v>21000</v>
      </c>
    </row>
    <row r="447" spans="2:26" ht="51" x14ac:dyDescent="0.2">
      <c r="B447" s="100" t="s">
        <v>57</v>
      </c>
      <c r="C447" s="39" t="s">
        <v>5</v>
      </c>
      <c r="D447" s="16" t="s">
        <v>83</v>
      </c>
      <c r="E447" s="16" t="s">
        <v>83</v>
      </c>
      <c r="F447" s="16" t="s">
        <v>83</v>
      </c>
      <c r="G447" s="16" t="s">
        <v>215</v>
      </c>
      <c r="H447" s="11" t="s">
        <v>83</v>
      </c>
      <c r="I447" s="102">
        <v>100</v>
      </c>
      <c r="J447" s="40">
        <f t="shared" ref="J447:Z447" si="192">J448</f>
        <v>4400</v>
      </c>
      <c r="K447" s="97">
        <f t="shared" si="192"/>
        <v>0</v>
      </c>
      <c r="L447" s="104">
        <f t="shared" si="192"/>
        <v>8400</v>
      </c>
      <c r="M447" s="104">
        <f t="shared" si="192"/>
        <v>0</v>
      </c>
      <c r="N447" s="104">
        <f t="shared" si="192"/>
        <v>8400</v>
      </c>
      <c r="O447" s="104">
        <f t="shared" si="192"/>
        <v>8400</v>
      </c>
      <c r="P447" s="104">
        <f t="shared" si="192"/>
        <v>0</v>
      </c>
      <c r="Q447" s="104">
        <f t="shared" si="192"/>
        <v>0</v>
      </c>
      <c r="R447" s="104">
        <f t="shared" si="192"/>
        <v>8400</v>
      </c>
      <c r="S447" s="104">
        <f t="shared" si="192"/>
        <v>8400</v>
      </c>
      <c r="T447" s="104">
        <f t="shared" si="192"/>
        <v>8400</v>
      </c>
      <c r="U447" s="104">
        <f t="shared" si="192"/>
        <v>0</v>
      </c>
      <c r="V447" s="104">
        <f t="shared" si="192"/>
        <v>0</v>
      </c>
      <c r="W447" s="104">
        <f t="shared" si="192"/>
        <v>8400</v>
      </c>
      <c r="X447" s="104">
        <f t="shared" si="192"/>
        <v>8400</v>
      </c>
      <c r="Y447" s="104">
        <f t="shared" si="192"/>
        <v>0</v>
      </c>
      <c r="Z447" s="104">
        <f t="shared" si="192"/>
        <v>8400</v>
      </c>
    </row>
    <row r="448" spans="2:26" ht="25.5" x14ac:dyDescent="0.2">
      <c r="B448" s="100" t="s">
        <v>51</v>
      </c>
      <c r="C448" s="39" t="s">
        <v>5</v>
      </c>
      <c r="D448" s="16" t="s">
        <v>83</v>
      </c>
      <c r="E448" s="16" t="s">
        <v>83</v>
      </c>
      <c r="F448" s="16" t="s">
        <v>83</v>
      </c>
      <c r="G448" s="16" t="s">
        <v>215</v>
      </c>
      <c r="H448" s="11" t="s">
        <v>83</v>
      </c>
      <c r="I448" s="102">
        <v>120</v>
      </c>
      <c r="J448" s="40">
        <v>4400</v>
      </c>
      <c r="K448" s="97">
        <v>0</v>
      </c>
      <c r="L448" s="104">
        <v>8400</v>
      </c>
      <c r="M448" s="104">
        <v>0</v>
      </c>
      <c r="N448" s="104">
        <v>8400</v>
      </c>
      <c r="O448" s="104">
        <v>8400</v>
      </c>
      <c r="P448" s="104">
        <v>0</v>
      </c>
      <c r="Q448" s="104">
        <v>0</v>
      </c>
      <c r="R448" s="104">
        <v>8400</v>
      </c>
      <c r="S448" s="104">
        <v>8400</v>
      </c>
      <c r="T448" s="104">
        <v>8400</v>
      </c>
      <c r="U448" s="104">
        <v>0</v>
      </c>
      <c r="V448" s="104">
        <v>0</v>
      </c>
      <c r="W448" s="104">
        <v>8400</v>
      </c>
      <c r="X448" s="104">
        <v>8400</v>
      </c>
      <c r="Y448" s="104">
        <v>0</v>
      </c>
      <c r="Z448" s="104">
        <v>8400</v>
      </c>
    </row>
    <row r="449" spans="2:26" ht="25.5" x14ac:dyDescent="0.2">
      <c r="B449" s="100" t="s">
        <v>42</v>
      </c>
      <c r="C449" s="39" t="s">
        <v>5</v>
      </c>
      <c r="D449" s="16" t="s">
        <v>83</v>
      </c>
      <c r="E449" s="16" t="s">
        <v>83</v>
      </c>
      <c r="F449" s="16" t="s">
        <v>83</v>
      </c>
      <c r="G449" s="16" t="s">
        <v>215</v>
      </c>
      <c r="H449" s="11" t="s">
        <v>83</v>
      </c>
      <c r="I449" s="102">
        <v>200</v>
      </c>
      <c r="J449" s="40">
        <f t="shared" ref="J449:Z449" si="193">J450</f>
        <v>23600</v>
      </c>
      <c r="K449" s="97">
        <f t="shared" si="193"/>
        <v>0</v>
      </c>
      <c r="L449" s="104">
        <f t="shared" si="193"/>
        <v>12600</v>
      </c>
      <c r="M449" s="104">
        <f t="shared" si="193"/>
        <v>0</v>
      </c>
      <c r="N449" s="104">
        <f t="shared" si="193"/>
        <v>12600</v>
      </c>
      <c r="O449" s="104">
        <f t="shared" si="193"/>
        <v>12600</v>
      </c>
      <c r="P449" s="104">
        <f t="shared" si="193"/>
        <v>0</v>
      </c>
      <c r="Q449" s="104">
        <f t="shared" si="193"/>
        <v>0</v>
      </c>
      <c r="R449" s="104">
        <f t="shared" si="193"/>
        <v>12600</v>
      </c>
      <c r="S449" s="104">
        <f t="shared" si="193"/>
        <v>12600</v>
      </c>
      <c r="T449" s="104">
        <f t="shared" si="193"/>
        <v>12600</v>
      </c>
      <c r="U449" s="104">
        <f t="shared" si="193"/>
        <v>0</v>
      </c>
      <c r="V449" s="104">
        <f t="shared" si="193"/>
        <v>0</v>
      </c>
      <c r="W449" s="104">
        <f t="shared" si="193"/>
        <v>12600</v>
      </c>
      <c r="X449" s="104">
        <f t="shared" si="193"/>
        <v>12600</v>
      </c>
      <c r="Y449" s="104">
        <f t="shared" si="193"/>
        <v>0</v>
      </c>
      <c r="Z449" s="104">
        <f t="shared" si="193"/>
        <v>12600</v>
      </c>
    </row>
    <row r="450" spans="2:26" ht="25.5" x14ac:dyDescent="0.2">
      <c r="B450" s="100" t="s">
        <v>44</v>
      </c>
      <c r="C450" s="39" t="s">
        <v>5</v>
      </c>
      <c r="D450" s="16" t="s">
        <v>83</v>
      </c>
      <c r="E450" s="16" t="s">
        <v>83</v>
      </c>
      <c r="F450" s="16" t="s">
        <v>83</v>
      </c>
      <c r="G450" s="16" t="s">
        <v>215</v>
      </c>
      <c r="H450" s="11" t="s">
        <v>83</v>
      </c>
      <c r="I450" s="102">
        <v>240</v>
      </c>
      <c r="J450" s="40">
        <v>23600</v>
      </c>
      <c r="K450" s="97">
        <v>0</v>
      </c>
      <c r="L450" s="104">
        <v>12600</v>
      </c>
      <c r="M450" s="104">
        <v>0</v>
      </c>
      <c r="N450" s="104">
        <v>12600</v>
      </c>
      <c r="O450" s="104">
        <v>12600</v>
      </c>
      <c r="P450" s="104">
        <v>0</v>
      </c>
      <c r="Q450" s="104">
        <v>0</v>
      </c>
      <c r="R450" s="104">
        <v>12600</v>
      </c>
      <c r="S450" s="104">
        <v>12600</v>
      </c>
      <c r="T450" s="104">
        <v>12600</v>
      </c>
      <c r="U450" s="104">
        <v>0</v>
      </c>
      <c r="V450" s="104">
        <v>0</v>
      </c>
      <c r="W450" s="104">
        <v>12600</v>
      </c>
      <c r="X450" s="104">
        <v>12600</v>
      </c>
      <c r="Y450" s="104">
        <v>0</v>
      </c>
      <c r="Z450" s="104">
        <v>12600</v>
      </c>
    </row>
    <row r="451" spans="2:26" ht="38.25" x14ac:dyDescent="0.2">
      <c r="B451" s="100" t="s">
        <v>197</v>
      </c>
      <c r="C451" s="39" t="s">
        <v>5</v>
      </c>
      <c r="D451" s="16" t="s">
        <v>83</v>
      </c>
      <c r="E451" s="16" t="s">
        <v>83</v>
      </c>
      <c r="F451" s="16" t="s">
        <v>83</v>
      </c>
      <c r="G451" s="16" t="s">
        <v>196</v>
      </c>
      <c r="H451" s="11" t="s">
        <v>83</v>
      </c>
      <c r="I451" s="102"/>
      <c r="J451" s="40">
        <f t="shared" ref="J451:X451" si="194">J452+J454</f>
        <v>464749</v>
      </c>
      <c r="K451" s="97">
        <f t="shared" si="194"/>
        <v>0</v>
      </c>
      <c r="L451" s="103">
        <f t="shared" si="194"/>
        <v>570678.98</v>
      </c>
      <c r="M451" s="103">
        <f t="shared" si="194"/>
        <v>0</v>
      </c>
      <c r="N451" s="103">
        <f t="shared" si="194"/>
        <v>570678.98</v>
      </c>
      <c r="O451" s="104">
        <f t="shared" si="194"/>
        <v>575935.77</v>
      </c>
      <c r="P451" s="104">
        <f t="shared" si="194"/>
        <v>0</v>
      </c>
      <c r="Q451" s="103">
        <f>Q452+Q454</f>
        <v>0</v>
      </c>
      <c r="R451" s="103">
        <f>R452+R454</f>
        <v>570678.98</v>
      </c>
      <c r="S451" s="104">
        <f t="shared" si="194"/>
        <v>575935.77</v>
      </c>
      <c r="T451" s="105">
        <f t="shared" si="194"/>
        <v>597173.19999999995</v>
      </c>
      <c r="U451" s="105">
        <f t="shared" si="194"/>
        <v>0</v>
      </c>
      <c r="V451" s="104">
        <f>V452+V454</f>
        <v>0</v>
      </c>
      <c r="W451" s="104">
        <f>W452+W454</f>
        <v>575935.77</v>
      </c>
      <c r="X451" s="105">
        <f t="shared" si="194"/>
        <v>597173.19999999995</v>
      </c>
      <c r="Y451" s="105">
        <f>Y452+Y454</f>
        <v>0</v>
      </c>
      <c r="Z451" s="105">
        <f>Z452+Z454</f>
        <v>597173.19999999995</v>
      </c>
    </row>
    <row r="452" spans="2:26" ht="51" x14ac:dyDescent="0.2">
      <c r="B452" s="100" t="s">
        <v>57</v>
      </c>
      <c r="C452" s="39" t="s">
        <v>5</v>
      </c>
      <c r="D452" s="16" t="s">
        <v>83</v>
      </c>
      <c r="E452" s="16" t="s">
        <v>83</v>
      </c>
      <c r="F452" s="16" t="s">
        <v>83</v>
      </c>
      <c r="G452" s="16" t="s">
        <v>196</v>
      </c>
      <c r="H452" s="11" t="s">
        <v>83</v>
      </c>
      <c r="I452" s="102">
        <v>100</v>
      </c>
      <c r="J452" s="40">
        <f t="shared" ref="J452:Z452" si="195">J453</f>
        <v>402400</v>
      </c>
      <c r="K452" s="97">
        <f t="shared" si="195"/>
        <v>0</v>
      </c>
      <c r="L452" s="104">
        <f t="shared" si="195"/>
        <v>506219.2</v>
      </c>
      <c r="M452" s="104">
        <f t="shared" si="195"/>
        <v>0</v>
      </c>
      <c r="N452" s="104">
        <f t="shared" si="195"/>
        <v>506219.2</v>
      </c>
      <c r="O452" s="104">
        <f t="shared" si="195"/>
        <v>511427.2</v>
      </c>
      <c r="P452" s="104">
        <f t="shared" si="195"/>
        <v>0</v>
      </c>
      <c r="Q452" s="104">
        <f t="shared" si="195"/>
        <v>0</v>
      </c>
      <c r="R452" s="104">
        <f t="shared" si="195"/>
        <v>506219.2</v>
      </c>
      <c r="S452" s="104">
        <f t="shared" si="195"/>
        <v>511427.2</v>
      </c>
      <c r="T452" s="104">
        <f t="shared" si="195"/>
        <v>532519.6</v>
      </c>
      <c r="U452" s="104">
        <f t="shared" si="195"/>
        <v>0</v>
      </c>
      <c r="V452" s="104">
        <f t="shared" si="195"/>
        <v>0</v>
      </c>
      <c r="W452" s="104">
        <f t="shared" si="195"/>
        <v>511427.2</v>
      </c>
      <c r="X452" s="104">
        <f t="shared" si="195"/>
        <v>532519.6</v>
      </c>
      <c r="Y452" s="104">
        <f t="shared" si="195"/>
        <v>0</v>
      </c>
      <c r="Z452" s="104">
        <f t="shared" si="195"/>
        <v>532519.6</v>
      </c>
    </row>
    <row r="453" spans="2:26" ht="25.5" x14ac:dyDescent="0.2">
      <c r="B453" s="100" t="s">
        <v>51</v>
      </c>
      <c r="C453" s="39" t="s">
        <v>5</v>
      </c>
      <c r="D453" s="16" t="s">
        <v>83</v>
      </c>
      <c r="E453" s="16" t="s">
        <v>83</v>
      </c>
      <c r="F453" s="16" t="s">
        <v>83</v>
      </c>
      <c r="G453" s="16" t="s">
        <v>196</v>
      </c>
      <c r="H453" s="11" t="s">
        <v>83</v>
      </c>
      <c r="I453" s="102">
        <v>120</v>
      </c>
      <c r="J453" s="40">
        <v>402400</v>
      </c>
      <c r="K453" s="97">
        <v>0</v>
      </c>
      <c r="L453" s="104">
        <f>371600+23000+111619.2</f>
        <v>506219.2</v>
      </c>
      <c r="M453" s="104">
        <v>0</v>
      </c>
      <c r="N453" s="104">
        <f>371600+23000+111619.2</f>
        <v>506219.2</v>
      </c>
      <c r="O453" s="104">
        <f>375600+23000+112827.2</f>
        <v>511427.2</v>
      </c>
      <c r="P453" s="104">
        <v>0</v>
      </c>
      <c r="Q453" s="104">
        <v>0</v>
      </c>
      <c r="R453" s="104">
        <f>371600+23000+111619.2</f>
        <v>506219.2</v>
      </c>
      <c r="S453" s="104">
        <f>375600+23000+112827.2</f>
        <v>511427.2</v>
      </c>
      <c r="T453" s="104">
        <f>391800+117719.6+23000</f>
        <v>532519.6</v>
      </c>
      <c r="U453" s="104">
        <v>0</v>
      </c>
      <c r="V453" s="104">
        <v>0</v>
      </c>
      <c r="W453" s="104">
        <f>375600+23000+112827.2</f>
        <v>511427.2</v>
      </c>
      <c r="X453" s="104">
        <f>391800+117719.6+23000</f>
        <v>532519.6</v>
      </c>
      <c r="Y453" s="104">
        <v>0</v>
      </c>
      <c r="Z453" s="104">
        <f>391800+117719.6+23000</f>
        <v>532519.6</v>
      </c>
    </row>
    <row r="454" spans="2:26" ht="25.5" x14ac:dyDescent="0.2">
      <c r="B454" s="100" t="s">
        <v>42</v>
      </c>
      <c r="C454" s="39" t="s">
        <v>5</v>
      </c>
      <c r="D454" s="16" t="s">
        <v>83</v>
      </c>
      <c r="E454" s="16" t="s">
        <v>83</v>
      </c>
      <c r="F454" s="16" t="s">
        <v>83</v>
      </c>
      <c r="G454" s="16" t="s">
        <v>196</v>
      </c>
      <c r="H454" s="11" t="s">
        <v>83</v>
      </c>
      <c r="I454" s="102">
        <v>200</v>
      </c>
      <c r="J454" s="40">
        <f t="shared" ref="J454:Z454" si="196">J455</f>
        <v>62349</v>
      </c>
      <c r="K454" s="97">
        <f t="shared" si="196"/>
        <v>0</v>
      </c>
      <c r="L454" s="104">
        <f t="shared" si="196"/>
        <v>64459.78</v>
      </c>
      <c r="M454" s="104">
        <f t="shared" si="196"/>
        <v>0</v>
      </c>
      <c r="N454" s="104">
        <f t="shared" si="196"/>
        <v>64459.78</v>
      </c>
      <c r="O454" s="104">
        <f t="shared" si="196"/>
        <v>64508.57</v>
      </c>
      <c r="P454" s="104">
        <f t="shared" si="196"/>
        <v>0</v>
      </c>
      <c r="Q454" s="104">
        <f t="shared" si="196"/>
        <v>0</v>
      </c>
      <c r="R454" s="104">
        <f t="shared" si="196"/>
        <v>64459.78</v>
      </c>
      <c r="S454" s="104">
        <f t="shared" si="196"/>
        <v>64508.57</v>
      </c>
      <c r="T454" s="104">
        <f t="shared" si="196"/>
        <v>64653.599999999999</v>
      </c>
      <c r="U454" s="104">
        <f t="shared" si="196"/>
        <v>0</v>
      </c>
      <c r="V454" s="104">
        <f t="shared" si="196"/>
        <v>0</v>
      </c>
      <c r="W454" s="104">
        <f t="shared" si="196"/>
        <v>64508.57</v>
      </c>
      <c r="X454" s="104">
        <f t="shared" si="196"/>
        <v>64653.599999999999</v>
      </c>
      <c r="Y454" s="104">
        <f t="shared" si="196"/>
        <v>0</v>
      </c>
      <c r="Z454" s="104">
        <f t="shared" si="196"/>
        <v>64653.599999999999</v>
      </c>
    </row>
    <row r="455" spans="2:26" ht="25.5" x14ac:dyDescent="0.2">
      <c r="B455" s="100" t="s">
        <v>44</v>
      </c>
      <c r="C455" s="39" t="s">
        <v>5</v>
      </c>
      <c r="D455" s="16" t="s">
        <v>83</v>
      </c>
      <c r="E455" s="16" t="s">
        <v>83</v>
      </c>
      <c r="F455" s="16" t="s">
        <v>83</v>
      </c>
      <c r="G455" s="16" t="s">
        <v>196</v>
      </c>
      <c r="H455" s="11" t="s">
        <v>83</v>
      </c>
      <c r="I455" s="102">
        <v>240</v>
      </c>
      <c r="J455" s="40">
        <v>62349</v>
      </c>
      <c r="K455" s="97">
        <v>0</v>
      </c>
      <c r="L455" s="104">
        <v>64459.78</v>
      </c>
      <c r="M455" s="104">
        <v>0</v>
      </c>
      <c r="N455" s="104">
        <v>64459.78</v>
      </c>
      <c r="O455" s="104">
        <v>64508.57</v>
      </c>
      <c r="P455" s="104">
        <v>0</v>
      </c>
      <c r="Q455" s="104">
        <v>0</v>
      </c>
      <c r="R455" s="104">
        <v>64459.78</v>
      </c>
      <c r="S455" s="104">
        <v>64508.57</v>
      </c>
      <c r="T455" s="104">
        <v>64653.599999999999</v>
      </c>
      <c r="U455" s="104">
        <v>0</v>
      </c>
      <c r="V455" s="104">
        <v>0</v>
      </c>
      <c r="W455" s="104">
        <v>64508.57</v>
      </c>
      <c r="X455" s="104">
        <v>64653.599999999999</v>
      </c>
      <c r="Y455" s="104">
        <v>0</v>
      </c>
      <c r="Z455" s="104">
        <v>64653.599999999999</v>
      </c>
    </row>
    <row r="456" spans="2:26" ht="25.5" x14ac:dyDescent="0.2">
      <c r="B456" s="100" t="s">
        <v>24</v>
      </c>
      <c r="C456" s="39" t="s">
        <v>5</v>
      </c>
      <c r="D456" s="16" t="s">
        <v>83</v>
      </c>
      <c r="E456" s="16" t="s">
        <v>83</v>
      </c>
      <c r="F456" s="16" t="s">
        <v>83</v>
      </c>
      <c r="G456" s="16" t="s">
        <v>193</v>
      </c>
      <c r="H456" s="11" t="s">
        <v>85</v>
      </c>
      <c r="I456" s="102"/>
      <c r="J456" s="40">
        <f t="shared" ref="J456:X456" si="197">J457+J459</f>
        <v>1961900</v>
      </c>
      <c r="K456" s="97">
        <f t="shared" si="197"/>
        <v>0</v>
      </c>
      <c r="L456" s="103">
        <f t="shared" si="197"/>
        <v>2759146.69</v>
      </c>
      <c r="M456" s="103">
        <f t="shared" si="197"/>
        <v>0</v>
      </c>
      <c r="N456" s="103">
        <f t="shared" si="197"/>
        <v>2759146.69</v>
      </c>
      <c r="O456" s="104">
        <f t="shared" si="197"/>
        <v>2794084.56</v>
      </c>
      <c r="P456" s="104">
        <f t="shared" si="197"/>
        <v>0</v>
      </c>
      <c r="Q456" s="103">
        <f>Q457+Q459</f>
        <v>0</v>
      </c>
      <c r="R456" s="103">
        <f>R457+R459</f>
        <v>2759146.69</v>
      </c>
      <c r="S456" s="104">
        <f t="shared" si="197"/>
        <v>2794084.56</v>
      </c>
      <c r="T456" s="105">
        <f t="shared" si="197"/>
        <v>2907388.6299999994</v>
      </c>
      <c r="U456" s="105">
        <f t="shared" si="197"/>
        <v>0</v>
      </c>
      <c r="V456" s="104">
        <f>V457+V459</f>
        <v>0</v>
      </c>
      <c r="W456" s="104">
        <f>W457+W459</f>
        <v>2794084.56</v>
      </c>
      <c r="X456" s="105">
        <f t="shared" si="197"/>
        <v>2907388.6299999994</v>
      </c>
      <c r="Y456" s="105">
        <f>Y457+Y459</f>
        <v>0</v>
      </c>
      <c r="Z456" s="105">
        <f>Z457+Z459</f>
        <v>2907388.6299999994</v>
      </c>
    </row>
    <row r="457" spans="2:26" ht="51" x14ac:dyDescent="0.2">
      <c r="B457" s="100" t="s">
        <v>57</v>
      </c>
      <c r="C457" s="39" t="s">
        <v>5</v>
      </c>
      <c r="D457" s="16" t="s">
        <v>83</v>
      </c>
      <c r="E457" s="16" t="s">
        <v>83</v>
      </c>
      <c r="F457" s="16" t="s">
        <v>83</v>
      </c>
      <c r="G457" s="16" t="s">
        <v>193</v>
      </c>
      <c r="H457" s="11" t="s">
        <v>85</v>
      </c>
      <c r="I457" s="102">
        <v>100</v>
      </c>
      <c r="J457" s="40">
        <f t="shared" ref="J457:Z457" si="198">J458</f>
        <v>1879400</v>
      </c>
      <c r="K457" s="97">
        <f t="shared" si="198"/>
        <v>0</v>
      </c>
      <c r="L457" s="104">
        <f t="shared" si="198"/>
        <v>2671672.16</v>
      </c>
      <c r="M457" s="104">
        <f t="shared" si="198"/>
        <v>0</v>
      </c>
      <c r="N457" s="104">
        <f t="shared" si="198"/>
        <v>2671672.16</v>
      </c>
      <c r="O457" s="104">
        <f t="shared" si="198"/>
        <v>2703760.0300000003</v>
      </c>
      <c r="P457" s="104">
        <f t="shared" si="198"/>
        <v>0</v>
      </c>
      <c r="Q457" s="104">
        <f t="shared" si="198"/>
        <v>0</v>
      </c>
      <c r="R457" s="104">
        <f t="shared" si="198"/>
        <v>2671672.16</v>
      </c>
      <c r="S457" s="104">
        <f t="shared" si="198"/>
        <v>2703760.0300000003</v>
      </c>
      <c r="T457" s="104">
        <f t="shared" si="198"/>
        <v>2817064.0999999996</v>
      </c>
      <c r="U457" s="104">
        <f t="shared" si="198"/>
        <v>0</v>
      </c>
      <c r="V457" s="104">
        <f t="shared" si="198"/>
        <v>0</v>
      </c>
      <c r="W457" s="104">
        <f t="shared" si="198"/>
        <v>2703760.0300000003</v>
      </c>
      <c r="X457" s="104">
        <f t="shared" si="198"/>
        <v>2817064.0999999996</v>
      </c>
      <c r="Y457" s="104">
        <f t="shared" si="198"/>
        <v>0</v>
      </c>
      <c r="Z457" s="104">
        <f t="shared" si="198"/>
        <v>2817064.0999999996</v>
      </c>
    </row>
    <row r="458" spans="2:26" ht="25.5" x14ac:dyDescent="0.2">
      <c r="B458" s="100" t="s">
        <v>51</v>
      </c>
      <c r="C458" s="39" t="s">
        <v>5</v>
      </c>
      <c r="D458" s="16" t="s">
        <v>83</v>
      </c>
      <c r="E458" s="16" t="s">
        <v>83</v>
      </c>
      <c r="F458" s="16" t="s">
        <v>83</v>
      </c>
      <c r="G458" s="16" t="s">
        <v>193</v>
      </c>
      <c r="H458" s="11" t="s">
        <v>85</v>
      </c>
      <c r="I458" s="102">
        <v>120</v>
      </c>
      <c r="J458" s="12">
        <f>1814400+65000</f>
        <v>1879400</v>
      </c>
      <c r="K458" s="103">
        <v>0</v>
      </c>
      <c r="L458" s="104">
        <f>2003907.96+602764.2+65000</f>
        <v>2671672.16</v>
      </c>
      <c r="M458" s="104">
        <v>0</v>
      </c>
      <c r="N458" s="104">
        <f>2003907.96+602764.2+65000</f>
        <v>2671672.16</v>
      </c>
      <c r="O458" s="104">
        <f>2066955.48+621804.55+15000</f>
        <v>2703760.0300000003</v>
      </c>
      <c r="P458" s="104">
        <v>0</v>
      </c>
      <c r="Q458" s="104">
        <v>0</v>
      </c>
      <c r="R458" s="104">
        <f>2003907.96+602764.2+65000</f>
        <v>2671672.16</v>
      </c>
      <c r="S458" s="104">
        <f>2066955.48+621804.55+15000</f>
        <v>2703760.0300000003</v>
      </c>
      <c r="T458" s="104">
        <f>2115576.11+636487.99+65000</f>
        <v>2817064.0999999996</v>
      </c>
      <c r="U458" s="104">
        <v>0</v>
      </c>
      <c r="V458" s="104">
        <v>0</v>
      </c>
      <c r="W458" s="104">
        <f>2066955.48+621804.55+15000</f>
        <v>2703760.0300000003</v>
      </c>
      <c r="X458" s="104">
        <f>2115576.11+636487.99+65000</f>
        <v>2817064.0999999996</v>
      </c>
      <c r="Y458" s="104">
        <v>0</v>
      </c>
      <c r="Z458" s="104">
        <f>2115576.11+636487.99+65000</f>
        <v>2817064.0999999996</v>
      </c>
    </row>
    <row r="459" spans="2:26" ht="25.5" x14ac:dyDescent="0.2">
      <c r="B459" s="100" t="s">
        <v>42</v>
      </c>
      <c r="C459" s="39" t="s">
        <v>5</v>
      </c>
      <c r="D459" s="16" t="s">
        <v>83</v>
      </c>
      <c r="E459" s="16" t="s">
        <v>83</v>
      </c>
      <c r="F459" s="16" t="s">
        <v>83</v>
      </c>
      <c r="G459" s="16" t="s">
        <v>193</v>
      </c>
      <c r="H459" s="11" t="s">
        <v>85</v>
      </c>
      <c r="I459" s="102">
        <v>200</v>
      </c>
      <c r="J459" s="12">
        <f t="shared" ref="J459:Z459" si="199">J460</f>
        <v>82500</v>
      </c>
      <c r="K459" s="103">
        <f t="shared" si="199"/>
        <v>0</v>
      </c>
      <c r="L459" s="104">
        <f t="shared" si="199"/>
        <v>87474.53</v>
      </c>
      <c r="M459" s="104">
        <f t="shared" si="199"/>
        <v>0</v>
      </c>
      <c r="N459" s="104">
        <f t="shared" si="199"/>
        <v>87474.53</v>
      </c>
      <c r="O459" s="104">
        <f t="shared" si="199"/>
        <v>90324.53</v>
      </c>
      <c r="P459" s="104">
        <f t="shared" si="199"/>
        <v>0</v>
      </c>
      <c r="Q459" s="104">
        <f t="shared" si="199"/>
        <v>0</v>
      </c>
      <c r="R459" s="104">
        <f t="shared" si="199"/>
        <v>87474.53</v>
      </c>
      <c r="S459" s="104">
        <f t="shared" si="199"/>
        <v>90324.53</v>
      </c>
      <c r="T459" s="104">
        <f t="shared" si="199"/>
        <v>90324.53</v>
      </c>
      <c r="U459" s="104">
        <f t="shared" si="199"/>
        <v>0</v>
      </c>
      <c r="V459" s="104">
        <f t="shared" si="199"/>
        <v>0</v>
      </c>
      <c r="W459" s="104">
        <f t="shared" si="199"/>
        <v>90324.53</v>
      </c>
      <c r="X459" s="104">
        <f t="shared" si="199"/>
        <v>90324.53</v>
      </c>
      <c r="Y459" s="104">
        <f t="shared" si="199"/>
        <v>0</v>
      </c>
      <c r="Z459" s="104">
        <f t="shared" si="199"/>
        <v>90324.53</v>
      </c>
    </row>
    <row r="460" spans="2:26" ht="25.5" x14ac:dyDescent="0.2">
      <c r="B460" s="250" t="s">
        <v>44</v>
      </c>
      <c r="C460" s="16" t="s">
        <v>5</v>
      </c>
      <c r="D460" s="16" t="s">
        <v>83</v>
      </c>
      <c r="E460" s="16" t="s">
        <v>83</v>
      </c>
      <c r="F460" s="16" t="s">
        <v>83</v>
      </c>
      <c r="G460" s="16" t="s">
        <v>193</v>
      </c>
      <c r="H460" s="11" t="s">
        <v>85</v>
      </c>
      <c r="I460" s="102">
        <v>240</v>
      </c>
      <c r="J460" s="12">
        <v>82500</v>
      </c>
      <c r="K460" s="103">
        <v>0</v>
      </c>
      <c r="L460" s="104">
        <v>87474.53</v>
      </c>
      <c r="M460" s="104">
        <v>0</v>
      </c>
      <c r="N460" s="104">
        <v>87474.53</v>
      </c>
      <c r="O460" s="104">
        <v>90324.53</v>
      </c>
      <c r="P460" s="104">
        <v>0</v>
      </c>
      <c r="Q460" s="104">
        <v>0</v>
      </c>
      <c r="R460" s="104">
        <v>87474.53</v>
      </c>
      <c r="S460" s="104">
        <v>90324.53</v>
      </c>
      <c r="T460" s="104">
        <v>90324.53</v>
      </c>
      <c r="U460" s="104">
        <v>0</v>
      </c>
      <c r="V460" s="104">
        <v>0</v>
      </c>
      <c r="W460" s="104">
        <v>90324.53</v>
      </c>
      <c r="X460" s="104">
        <v>90324.53</v>
      </c>
      <c r="Y460" s="104">
        <v>0</v>
      </c>
      <c r="Z460" s="104">
        <v>90324.53</v>
      </c>
    </row>
    <row r="461" spans="2:26" ht="25.5" x14ac:dyDescent="0.2">
      <c r="B461" s="100" t="s">
        <v>241</v>
      </c>
      <c r="C461" s="34" t="s">
        <v>5</v>
      </c>
      <c r="D461" s="10" t="s">
        <v>83</v>
      </c>
      <c r="E461" s="10" t="s">
        <v>83</v>
      </c>
      <c r="F461" s="10" t="s">
        <v>83</v>
      </c>
      <c r="G461" s="10" t="s">
        <v>193</v>
      </c>
      <c r="H461" s="11" t="s">
        <v>82</v>
      </c>
      <c r="I461" s="198"/>
      <c r="J461" s="12">
        <f t="shared" ref="J461:Y462" si="200">J462</f>
        <v>1225000</v>
      </c>
      <c r="K461" s="13">
        <f t="shared" si="200"/>
        <v>0</v>
      </c>
      <c r="L461" s="104">
        <f t="shared" ref="L461:X461" si="201">L462+L464</f>
        <v>1268426.8500000001</v>
      </c>
      <c r="M461" s="104">
        <f t="shared" si="201"/>
        <v>0</v>
      </c>
      <c r="N461" s="104">
        <f t="shared" si="201"/>
        <v>1268426.8500000001</v>
      </c>
      <c r="O461" s="104">
        <f t="shared" si="201"/>
        <v>1221746.97</v>
      </c>
      <c r="P461" s="104">
        <f t="shared" si="201"/>
        <v>0</v>
      </c>
      <c r="Q461" s="104">
        <f>Q462+Q464</f>
        <v>0</v>
      </c>
      <c r="R461" s="104">
        <f>R462+R464</f>
        <v>1268426.8500000001</v>
      </c>
      <c r="S461" s="104">
        <f t="shared" si="201"/>
        <v>1221746.97</v>
      </c>
      <c r="T461" s="104">
        <f t="shared" si="201"/>
        <v>1248329.45</v>
      </c>
      <c r="U461" s="104">
        <f t="shared" si="201"/>
        <v>0</v>
      </c>
      <c r="V461" s="104">
        <f>V462+V464</f>
        <v>0</v>
      </c>
      <c r="W461" s="104">
        <f>W462+W464</f>
        <v>1221746.97</v>
      </c>
      <c r="X461" s="104">
        <f t="shared" si="201"/>
        <v>1248329.45</v>
      </c>
      <c r="Y461" s="104">
        <f>Y462+Y464</f>
        <v>0</v>
      </c>
      <c r="Z461" s="104">
        <f>Z462+Z464</f>
        <v>1248329.45</v>
      </c>
    </row>
    <row r="462" spans="2:26" ht="51" x14ac:dyDescent="0.2">
      <c r="B462" s="100" t="s">
        <v>57</v>
      </c>
      <c r="C462" s="34" t="s">
        <v>5</v>
      </c>
      <c r="D462" s="10" t="s">
        <v>83</v>
      </c>
      <c r="E462" s="10" t="s">
        <v>83</v>
      </c>
      <c r="F462" s="10" t="s">
        <v>83</v>
      </c>
      <c r="G462" s="10" t="s">
        <v>193</v>
      </c>
      <c r="H462" s="11" t="s">
        <v>82</v>
      </c>
      <c r="I462" s="198">
        <v>100</v>
      </c>
      <c r="J462" s="12">
        <f t="shared" si="200"/>
        <v>1225000</v>
      </c>
      <c r="K462" s="13">
        <f t="shared" si="200"/>
        <v>0</v>
      </c>
      <c r="L462" s="104">
        <f t="shared" si="200"/>
        <v>1102131.71</v>
      </c>
      <c r="M462" s="104">
        <f t="shared" si="200"/>
        <v>0</v>
      </c>
      <c r="N462" s="104">
        <f t="shared" si="200"/>
        <v>1102131.71</v>
      </c>
      <c r="O462" s="104">
        <f t="shared" si="200"/>
        <v>1136601.83</v>
      </c>
      <c r="P462" s="104">
        <f t="shared" si="200"/>
        <v>0</v>
      </c>
      <c r="Q462" s="104">
        <f t="shared" si="200"/>
        <v>0</v>
      </c>
      <c r="R462" s="104">
        <f t="shared" si="200"/>
        <v>1102131.71</v>
      </c>
      <c r="S462" s="104">
        <f t="shared" si="200"/>
        <v>1136601.83</v>
      </c>
      <c r="T462" s="104">
        <f t="shared" si="200"/>
        <v>1163184.31</v>
      </c>
      <c r="U462" s="104">
        <f t="shared" si="200"/>
        <v>0</v>
      </c>
      <c r="V462" s="104">
        <f t="shared" si="200"/>
        <v>0</v>
      </c>
      <c r="W462" s="104">
        <f t="shared" si="200"/>
        <v>1136601.83</v>
      </c>
      <c r="X462" s="104">
        <f t="shared" si="200"/>
        <v>1163184.31</v>
      </c>
      <c r="Y462" s="104">
        <f t="shared" si="200"/>
        <v>0</v>
      </c>
      <c r="Z462" s="104">
        <f>Z463</f>
        <v>1163184.31</v>
      </c>
    </row>
    <row r="463" spans="2:26" ht="25.5" x14ac:dyDescent="0.2">
      <c r="B463" s="100" t="s">
        <v>51</v>
      </c>
      <c r="C463" s="34" t="s">
        <v>5</v>
      </c>
      <c r="D463" s="10" t="s">
        <v>83</v>
      </c>
      <c r="E463" s="10" t="s">
        <v>83</v>
      </c>
      <c r="F463" s="10" t="s">
        <v>83</v>
      </c>
      <c r="G463" s="10" t="s">
        <v>193</v>
      </c>
      <c r="H463" s="11" t="s">
        <v>82</v>
      </c>
      <c r="I463" s="198">
        <v>120</v>
      </c>
      <c r="J463" s="12">
        <v>1225000</v>
      </c>
      <c r="K463" s="13">
        <v>0</v>
      </c>
      <c r="L463" s="104">
        <f>847419.13+254712.58</f>
        <v>1102131.71</v>
      </c>
      <c r="M463" s="104">
        <v>0</v>
      </c>
      <c r="N463" s="104">
        <f>847419.13+254712.58</f>
        <v>1102131.71</v>
      </c>
      <c r="O463" s="104">
        <f>873893.88+262707.95</f>
        <v>1136601.83</v>
      </c>
      <c r="P463" s="104">
        <v>0</v>
      </c>
      <c r="Q463" s="104">
        <v>0</v>
      </c>
      <c r="R463" s="104">
        <f>847419.13+254712.58</f>
        <v>1102131.71</v>
      </c>
      <c r="S463" s="104">
        <f>873893.88+262707.95</f>
        <v>1136601.83</v>
      </c>
      <c r="T463" s="104">
        <f>894310.53+268873.78</f>
        <v>1163184.31</v>
      </c>
      <c r="U463" s="104">
        <v>0</v>
      </c>
      <c r="V463" s="104">
        <v>0</v>
      </c>
      <c r="W463" s="104">
        <f>873893.88+262707.95</f>
        <v>1136601.83</v>
      </c>
      <c r="X463" s="104">
        <f>894310.53+268873.78</f>
        <v>1163184.31</v>
      </c>
      <c r="Y463" s="104">
        <v>0</v>
      </c>
      <c r="Z463" s="104">
        <f>894310.53+268873.78</f>
        <v>1163184.31</v>
      </c>
    </row>
    <row r="464" spans="2:26" ht="25.5" x14ac:dyDescent="0.2">
      <c r="B464" s="100" t="s">
        <v>42</v>
      </c>
      <c r="C464" s="34" t="s">
        <v>5</v>
      </c>
      <c r="D464" s="10" t="s">
        <v>83</v>
      </c>
      <c r="E464" s="10" t="s">
        <v>83</v>
      </c>
      <c r="F464" s="10" t="s">
        <v>83</v>
      </c>
      <c r="G464" s="10" t="s">
        <v>193</v>
      </c>
      <c r="H464" s="11" t="s">
        <v>82</v>
      </c>
      <c r="I464" s="198">
        <v>200</v>
      </c>
      <c r="J464" s="12"/>
      <c r="K464" s="13"/>
      <c r="L464" s="104">
        <f t="shared" ref="L464:Z464" si="202">L465</f>
        <v>166295.14000000001</v>
      </c>
      <c r="M464" s="104">
        <f t="shared" si="202"/>
        <v>0</v>
      </c>
      <c r="N464" s="104">
        <f t="shared" si="202"/>
        <v>166295.14000000001</v>
      </c>
      <c r="O464" s="104">
        <f t="shared" si="202"/>
        <v>85145.14</v>
      </c>
      <c r="P464" s="104">
        <f t="shared" si="202"/>
        <v>0</v>
      </c>
      <c r="Q464" s="104">
        <f t="shared" si="202"/>
        <v>0</v>
      </c>
      <c r="R464" s="104">
        <f t="shared" si="202"/>
        <v>166295.14000000001</v>
      </c>
      <c r="S464" s="104">
        <f t="shared" si="202"/>
        <v>85145.14</v>
      </c>
      <c r="T464" s="104">
        <f t="shared" si="202"/>
        <v>85145.14</v>
      </c>
      <c r="U464" s="104">
        <f t="shared" si="202"/>
        <v>0</v>
      </c>
      <c r="V464" s="104">
        <f t="shared" si="202"/>
        <v>0</v>
      </c>
      <c r="W464" s="104">
        <f t="shared" si="202"/>
        <v>85145.14</v>
      </c>
      <c r="X464" s="104">
        <f t="shared" si="202"/>
        <v>85145.14</v>
      </c>
      <c r="Y464" s="104">
        <f t="shared" si="202"/>
        <v>0</v>
      </c>
      <c r="Z464" s="104">
        <f t="shared" si="202"/>
        <v>85145.14</v>
      </c>
    </row>
    <row r="465" spans="2:26" ht="25.5" x14ac:dyDescent="0.2">
      <c r="B465" s="100" t="s">
        <v>44</v>
      </c>
      <c r="C465" s="34" t="s">
        <v>5</v>
      </c>
      <c r="D465" s="10" t="s">
        <v>83</v>
      </c>
      <c r="E465" s="10" t="s">
        <v>83</v>
      </c>
      <c r="F465" s="10" t="s">
        <v>83</v>
      </c>
      <c r="G465" s="10" t="s">
        <v>193</v>
      </c>
      <c r="H465" s="11" t="s">
        <v>82</v>
      </c>
      <c r="I465" s="198">
        <v>240</v>
      </c>
      <c r="J465" s="12"/>
      <c r="K465" s="13"/>
      <c r="L465" s="104">
        <v>166295.14000000001</v>
      </c>
      <c r="M465" s="104">
        <v>0</v>
      </c>
      <c r="N465" s="104">
        <v>166295.14000000001</v>
      </c>
      <c r="O465" s="104">
        <v>85145.14</v>
      </c>
      <c r="P465" s="104">
        <v>0</v>
      </c>
      <c r="Q465" s="104">
        <v>0</v>
      </c>
      <c r="R465" s="104">
        <v>166295.14000000001</v>
      </c>
      <c r="S465" s="104">
        <v>85145.14</v>
      </c>
      <c r="T465" s="104">
        <v>85145.14</v>
      </c>
      <c r="U465" s="104">
        <v>0</v>
      </c>
      <c r="V465" s="104">
        <v>0</v>
      </c>
      <c r="W465" s="104">
        <v>85145.14</v>
      </c>
      <c r="X465" s="104">
        <v>85145.14</v>
      </c>
      <c r="Y465" s="104">
        <v>0</v>
      </c>
      <c r="Z465" s="104">
        <v>85145.14</v>
      </c>
    </row>
    <row r="466" spans="2:26" hidden="1" x14ac:dyDescent="0.2">
      <c r="B466" s="250" t="s">
        <v>52</v>
      </c>
      <c r="C466" s="16" t="s">
        <v>5</v>
      </c>
      <c r="D466" s="16" t="s">
        <v>83</v>
      </c>
      <c r="E466" s="16" t="s">
        <v>83</v>
      </c>
      <c r="F466" s="16" t="s">
        <v>83</v>
      </c>
      <c r="G466" s="16" t="s">
        <v>27</v>
      </c>
      <c r="H466" s="11" t="s">
        <v>83</v>
      </c>
      <c r="I466" s="102">
        <v>800</v>
      </c>
      <c r="J466" s="40">
        <f t="shared" ref="J466:X466" si="203">J468+J467</f>
        <v>0</v>
      </c>
      <c r="K466" s="97">
        <f t="shared" si="203"/>
        <v>0</v>
      </c>
      <c r="L466" s="98">
        <f t="shared" si="203"/>
        <v>0</v>
      </c>
      <c r="M466" s="98">
        <f t="shared" si="203"/>
        <v>0</v>
      </c>
      <c r="N466" s="98">
        <f t="shared" si="203"/>
        <v>0</v>
      </c>
      <c r="O466" s="98">
        <f t="shared" si="203"/>
        <v>0</v>
      </c>
      <c r="P466" s="98">
        <f t="shared" si="203"/>
        <v>0</v>
      </c>
      <c r="Q466" s="98">
        <f>Q468+Q467</f>
        <v>0</v>
      </c>
      <c r="R466" s="98">
        <f>R468+R467</f>
        <v>0</v>
      </c>
      <c r="S466" s="98">
        <f t="shared" si="203"/>
        <v>0</v>
      </c>
      <c r="T466" s="99">
        <f t="shared" si="203"/>
        <v>0</v>
      </c>
      <c r="U466" s="99">
        <f t="shared" si="203"/>
        <v>0</v>
      </c>
      <c r="V466" s="98">
        <f>V468+V467</f>
        <v>0</v>
      </c>
      <c r="W466" s="98">
        <f>W468+W467</f>
        <v>0</v>
      </c>
      <c r="X466" s="99">
        <f t="shared" si="203"/>
        <v>0</v>
      </c>
      <c r="Y466" s="99">
        <f>Y468+Y467</f>
        <v>0</v>
      </c>
      <c r="Z466" s="99">
        <f>Z468+Z467</f>
        <v>0</v>
      </c>
    </row>
    <row r="467" spans="2:26" hidden="1" x14ac:dyDescent="0.2">
      <c r="B467" s="250" t="s">
        <v>118</v>
      </c>
      <c r="C467" s="16" t="s">
        <v>5</v>
      </c>
      <c r="D467" s="16" t="s">
        <v>83</v>
      </c>
      <c r="E467" s="16" t="s">
        <v>83</v>
      </c>
      <c r="F467" s="16" t="s">
        <v>83</v>
      </c>
      <c r="G467" s="16" t="s">
        <v>27</v>
      </c>
      <c r="H467" s="11" t="s">
        <v>83</v>
      </c>
      <c r="I467" s="102" t="s">
        <v>117</v>
      </c>
      <c r="J467" s="40">
        <v>0</v>
      </c>
      <c r="K467" s="97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98">
        <v>0</v>
      </c>
      <c r="S467" s="98">
        <v>0</v>
      </c>
      <c r="T467" s="99">
        <v>0</v>
      </c>
      <c r="U467" s="99">
        <v>0</v>
      </c>
      <c r="V467" s="98">
        <v>0</v>
      </c>
      <c r="W467" s="98">
        <v>0</v>
      </c>
      <c r="X467" s="99">
        <v>0</v>
      </c>
      <c r="Y467" s="99">
        <v>0</v>
      </c>
      <c r="Z467" s="99">
        <v>0</v>
      </c>
    </row>
    <row r="468" spans="2:26" ht="20.25" hidden="1" customHeight="1" x14ac:dyDescent="0.2">
      <c r="B468" s="250" t="s">
        <v>54</v>
      </c>
      <c r="C468" s="16" t="s">
        <v>5</v>
      </c>
      <c r="D468" s="16" t="s">
        <v>83</v>
      </c>
      <c r="E468" s="16" t="s">
        <v>83</v>
      </c>
      <c r="F468" s="16" t="s">
        <v>83</v>
      </c>
      <c r="G468" s="16" t="s">
        <v>27</v>
      </c>
      <c r="H468" s="11" t="s">
        <v>83</v>
      </c>
      <c r="I468" s="102" t="s">
        <v>55</v>
      </c>
      <c r="J468" s="40">
        <v>0</v>
      </c>
      <c r="K468" s="97">
        <v>0</v>
      </c>
      <c r="L468" s="98">
        <v>0</v>
      </c>
      <c r="M468" s="98">
        <v>0</v>
      </c>
      <c r="N468" s="98">
        <v>0</v>
      </c>
      <c r="O468" s="98">
        <v>0</v>
      </c>
      <c r="P468" s="98">
        <v>0</v>
      </c>
      <c r="Q468" s="98">
        <v>0</v>
      </c>
      <c r="R468" s="98">
        <v>0</v>
      </c>
      <c r="S468" s="98">
        <v>0</v>
      </c>
      <c r="T468" s="99">
        <v>0</v>
      </c>
      <c r="U468" s="99">
        <v>0</v>
      </c>
      <c r="V468" s="98">
        <v>0</v>
      </c>
      <c r="W468" s="98">
        <v>0</v>
      </c>
      <c r="X468" s="99">
        <v>0</v>
      </c>
      <c r="Y468" s="99">
        <v>0</v>
      </c>
      <c r="Z468" s="99">
        <v>0</v>
      </c>
    </row>
    <row r="469" spans="2:26" ht="15" customHeight="1" x14ac:dyDescent="0.2">
      <c r="B469" s="100"/>
      <c r="C469" s="194"/>
      <c r="D469" s="49"/>
      <c r="E469" s="49"/>
      <c r="F469" s="49"/>
      <c r="G469" s="49"/>
      <c r="H469" s="28"/>
      <c r="I469" s="196"/>
      <c r="J469" s="177"/>
      <c r="K469" s="153"/>
      <c r="L469" s="154"/>
      <c r="M469" s="154"/>
      <c r="N469" s="154"/>
      <c r="O469" s="154"/>
      <c r="P469" s="154"/>
      <c r="Q469" s="154"/>
      <c r="R469" s="154"/>
      <c r="S469" s="154"/>
      <c r="T469" s="155"/>
      <c r="U469" s="155"/>
      <c r="V469" s="154"/>
      <c r="W469" s="154"/>
      <c r="X469" s="155"/>
      <c r="Y469" s="155"/>
      <c r="Z469" s="155"/>
    </row>
    <row r="470" spans="2:26" x14ac:dyDescent="0.2">
      <c r="B470" s="156"/>
      <c r="C470" s="34"/>
      <c r="D470" s="10"/>
      <c r="E470" s="10"/>
      <c r="F470" s="10"/>
      <c r="G470" s="10"/>
      <c r="H470" s="11"/>
      <c r="I470" s="102"/>
      <c r="J470" s="40"/>
      <c r="K470" s="97"/>
      <c r="L470" s="201"/>
      <c r="M470" s="201"/>
      <c r="N470" s="201"/>
      <c r="O470" s="98"/>
      <c r="P470" s="98"/>
      <c r="Q470" s="201"/>
      <c r="R470" s="201"/>
      <c r="S470" s="98"/>
      <c r="T470" s="99"/>
      <c r="U470" s="99"/>
      <c r="V470" s="98"/>
      <c r="W470" s="98"/>
      <c r="X470" s="99"/>
      <c r="Y470" s="99"/>
      <c r="Z470" s="99"/>
    </row>
    <row r="471" spans="2:26" ht="31.5" x14ac:dyDescent="0.2">
      <c r="B471" s="86" t="s">
        <v>263</v>
      </c>
      <c r="C471" s="87" t="s">
        <v>6</v>
      </c>
      <c r="D471" s="88" t="s">
        <v>83</v>
      </c>
      <c r="E471" s="115" t="s">
        <v>83</v>
      </c>
      <c r="F471" s="115" t="s">
        <v>83</v>
      </c>
      <c r="G471" s="88" t="s">
        <v>84</v>
      </c>
      <c r="H471" s="116" t="s">
        <v>83</v>
      </c>
      <c r="I471" s="107"/>
      <c r="J471" s="83">
        <f t="shared" ref="J471:N473" si="204">J472</f>
        <v>500000</v>
      </c>
      <c r="K471" s="84">
        <f t="shared" si="204"/>
        <v>0</v>
      </c>
      <c r="L471" s="85">
        <f t="shared" si="204"/>
        <v>100000</v>
      </c>
      <c r="M471" s="85">
        <f t="shared" si="204"/>
        <v>0</v>
      </c>
      <c r="N471" s="85">
        <f t="shared" si="204"/>
        <v>100000</v>
      </c>
      <c r="O471" s="85">
        <f t="shared" ref="O471:Z473" si="205">O472</f>
        <v>100000</v>
      </c>
      <c r="P471" s="85">
        <f t="shared" si="205"/>
        <v>0</v>
      </c>
      <c r="Q471" s="85">
        <f t="shared" si="205"/>
        <v>0</v>
      </c>
      <c r="R471" s="85">
        <f t="shared" si="205"/>
        <v>100000</v>
      </c>
      <c r="S471" s="85">
        <f t="shared" si="205"/>
        <v>100000</v>
      </c>
      <c r="T471" s="91">
        <f t="shared" si="205"/>
        <v>100000</v>
      </c>
      <c r="U471" s="91">
        <f t="shared" si="205"/>
        <v>0</v>
      </c>
      <c r="V471" s="85">
        <f t="shared" si="205"/>
        <v>0</v>
      </c>
      <c r="W471" s="85">
        <f t="shared" si="205"/>
        <v>100000</v>
      </c>
      <c r="X471" s="91">
        <f t="shared" si="205"/>
        <v>100000</v>
      </c>
      <c r="Y471" s="91">
        <f t="shared" si="205"/>
        <v>0</v>
      </c>
      <c r="Z471" s="91">
        <f t="shared" si="205"/>
        <v>100000</v>
      </c>
    </row>
    <row r="472" spans="2:26" ht="25.5" x14ac:dyDescent="0.2">
      <c r="B472" s="100" t="s">
        <v>263</v>
      </c>
      <c r="C472" s="39" t="s">
        <v>6</v>
      </c>
      <c r="D472" s="16" t="s">
        <v>83</v>
      </c>
      <c r="E472" s="16" t="s">
        <v>83</v>
      </c>
      <c r="F472" s="16" t="s">
        <v>83</v>
      </c>
      <c r="G472" s="16" t="s">
        <v>15</v>
      </c>
      <c r="H472" s="11" t="s">
        <v>83</v>
      </c>
      <c r="I472" s="198"/>
      <c r="J472" s="97">
        <f t="shared" si="204"/>
        <v>500000</v>
      </c>
      <c r="K472" s="97">
        <f t="shared" si="204"/>
        <v>0</v>
      </c>
      <c r="L472" s="98">
        <f t="shared" si="204"/>
        <v>100000</v>
      </c>
      <c r="M472" s="98">
        <f t="shared" si="204"/>
        <v>0</v>
      </c>
      <c r="N472" s="98">
        <f t="shared" si="204"/>
        <v>100000</v>
      </c>
      <c r="O472" s="98">
        <f t="shared" si="205"/>
        <v>100000</v>
      </c>
      <c r="P472" s="98">
        <f t="shared" si="205"/>
        <v>0</v>
      </c>
      <c r="Q472" s="98">
        <f t="shared" si="205"/>
        <v>0</v>
      </c>
      <c r="R472" s="98">
        <f t="shared" si="205"/>
        <v>100000</v>
      </c>
      <c r="S472" s="98">
        <f t="shared" si="205"/>
        <v>100000</v>
      </c>
      <c r="T472" s="99">
        <f t="shared" si="205"/>
        <v>100000</v>
      </c>
      <c r="U472" s="99">
        <f t="shared" si="205"/>
        <v>0</v>
      </c>
      <c r="V472" s="98">
        <f t="shared" si="205"/>
        <v>0</v>
      </c>
      <c r="W472" s="98">
        <f t="shared" si="205"/>
        <v>100000</v>
      </c>
      <c r="X472" s="99">
        <f t="shared" si="205"/>
        <v>100000</v>
      </c>
      <c r="Y472" s="99">
        <f t="shared" si="205"/>
        <v>0</v>
      </c>
      <c r="Z472" s="99">
        <f t="shared" si="205"/>
        <v>100000</v>
      </c>
    </row>
    <row r="473" spans="2:26" x14ac:dyDescent="0.2">
      <c r="B473" s="100" t="s">
        <v>52</v>
      </c>
      <c r="C473" s="39" t="s">
        <v>6</v>
      </c>
      <c r="D473" s="16" t="s">
        <v>83</v>
      </c>
      <c r="E473" s="16" t="s">
        <v>83</v>
      </c>
      <c r="F473" s="16" t="s">
        <v>83</v>
      </c>
      <c r="G473" s="16" t="s">
        <v>15</v>
      </c>
      <c r="H473" s="11" t="s">
        <v>83</v>
      </c>
      <c r="I473" s="198" t="s">
        <v>53</v>
      </c>
      <c r="J473" s="97">
        <f t="shared" si="204"/>
        <v>500000</v>
      </c>
      <c r="K473" s="97">
        <f t="shared" si="204"/>
        <v>0</v>
      </c>
      <c r="L473" s="98">
        <f t="shared" si="204"/>
        <v>100000</v>
      </c>
      <c r="M473" s="98">
        <f t="shared" si="204"/>
        <v>0</v>
      </c>
      <c r="N473" s="98">
        <f t="shared" si="204"/>
        <v>100000</v>
      </c>
      <c r="O473" s="98">
        <f t="shared" si="205"/>
        <v>100000</v>
      </c>
      <c r="P473" s="98">
        <f t="shared" si="205"/>
        <v>0</v>
      </c>
      <c r="Q473" s="98">
        <f t="shared" si="205"/>
        <v>0</v>
      </c>
      <c r="R473" s="98">
        <f t="shared" si="205"/>
        <v>100000</v>
      </c>
      <c r="S473" s="98">
        <f t="shared" si="205"/>
        <v>100000</v>
      </c>
      <c r="T473" s="99">
        <f t="shared" si="205"/>
        <v>100000</v>
      </c>
      <c r="U473" s="99">
        <f t="shared" si="205"/>
        <v>0</v>
      </c>
      <c r="V473" s="98">
        <v>0</v>
      </c>
      <c r="W473" s="98">
        <f t="shared" si="205"/>
        <v>100000</v>
      </c>
      <c r="X473" s="99">
        <f t="shared" si="205"/>
        <v>100000</v>
      </c>
      <c r="Y473" s="99">
        <f t="shared" si="205"/>
        <v>0</v>
      </c>
      <c r="Z473" s="99">
        <f t="shared" si="205"/>
        <v>100000</v>
      </c>
    </row>
    <row r="474" spans="2:26" x14ac:dyDescent="0.2">
      <c r="B474" s="169" t="s">
        <v>40</v>
      </c>
      <c r="C474" s="194" t="s">
        <v>6</v>
      </c>
      <c r="D474" s="49" t="s">
        <v>83</v>
      </c>
      <c r="E474" s="49" t="s">
        <v>83</v>
      </c>
      <c r="F474" s="49" t="s">
        <v>83</v>
      </c>
      <c r="G474" s="49" t="s">
        <v>15</v>
      </c>
      <c r="H474" s="28" t="s">
        <v>83</v>
      </c>
      <c r="I474" s="195">
        <v>870</v>
      </c>
      <c r="J474" s="153">
        <v>500000</v>
      </c>
      <c r="K474" s="153">
        <v>0</v>
      </c>
      <c r="L474" s="154">
        <v>100000</v>
      </c>
      <c r="M474" s="154">
        <v>0</v>
      </c>
      <c r="N474" s="154">
        <v>100000</v>
      </c>
      <c r="O474" s="154">
        <v>100000</v>
      </c>
      <c r="P474" s="154">
        <v>0</v>
      </c>
      <c r="Q474" s="154">
        <v>0</v>
      </c>
      <c r="R474" s="154">
        <v>100000</v>
      </c>
      <c r="S474" s="154">
        <v>100000</v>
      </c>
      <c r="T474" s="155">
        <v>100000</v>
      </c>
      <c r="U474" s="155">
        <v>0</v>
      </c>
      <c r="V474" s="154">
        <v>0</v>
      </c>
      <c r="W474" s="154">
        <v>100000</v>
      </c>
      <c r="X474" s="155">
        <v>100000</v>
      </c>
      <c r="Y474" s="155">
        <v>0</v>
      </c>
      <c r="Z474" s="155">
        <v>100000</v>
      </c>
    </row>
    <row r="475" spans="2:26" x14ac:dyDescent="0.2">
      <c r="B475" s="156"/>
      <c r="C475" s="206"/>
      <c r="D475" s="207"/>
      <c r="E475" s="207"/>
      <c r="F475" s="207"/>
      <c r="G475" s="207"/>
      <c r="H475" s="208"/>
      <c r="I475" s="131"/>
      <c r="J475" s="199"/>
      <c r="K475" s="200"/>
      <c r="L475" s="201"/>
      <c r="M475" s="201"/>
      <c r="N475" s="201"/>
      <c r="O475" s="201"/>
      <c r="P475" s="201"/>
      <c r="Q475" s="201"/>
      <c r="R475" s="201"/>
      <c r="S475" s="201"/>
      <c r="T475" s="202"/>
      <c r="U475" s="202"/>
      <c r="V475" s="201"/>
      <c r="W475" s="201"/>
      <c r="X475" s="202"/>
      <c r="Y475" s="202"/>
      <c r="Z475" s="202"/>
    </row>
    <row r="476" spans="2:26" ht="31.5" x14ac:dyDescent="0.2">
      <c r="B476" s="230" t="s">
        <v>36</v>
      </c>
      <c r="C476" s="191" t="s">
        <v>7</v>
      </c>
      <c r="D476" s="115" t="s">
        <v>83</v>
      </c>
      <c r="E476" s="115" t="s">
        <v>83</v>
      </c>
      <c r="F476" s="115" t="s">
        <v>83</v>
      </c>
      <c r="G476" s="115" t="s">
        <v>84</v>
      </c>
      <c r="H476" s="116" t="s">
        <v>83</v>
      </c>
      <c r="I476" s="192"/>
      <c r="J476" s="83" t="e">
        <f>J484+J493+J477+#REF!</f>
        <v>#REF!</v>
      </c>
      <c r="K476" s="84" t="e">
        <f>K484+K493+K477+#REF!</f>
        <v>#REF!</v>
      </c>
      <c r="L476" s="85">
        <f t="shared" ref="L476:M476" si="206">L484+L493+L477</f>
        <v>41467770.539999999</v>
      </c>
      <c r="M476" s="85">
        <f t="shared" si="206"/>
        <v>0</v>
      </c>
      <c r="N476" s="85">
        <f>N484+N493+N477+N496+N501</f>
        <v>41467770.539999999</v>
      </c>
      <c r="O476" s="85">
        <f t="shared" ref="O476:Z476" si="207">O484+O493+O477+O496+O501</f>
        <v>42474294.140000001</v>
      </c>
      <c r="P476" s="85">
        <f t="shared" si="207"/>
        <v>0</v>
      </c>
      <c r="Q476" s="85">
        <f t="shared" si="207"/>
        <v>775073.4</v>
      </c>
      <c r="R476" s="85">
        <f t="shared" si="207"/>
        <v>42242843.939999998</v>
      </c>
      <c r="S476" s="85">
        <f t="shared" si="207"/>
        <v>42474294.140000001</v>
      </c>
      <c r="T476" s="85">
        <f t="shared" si="207"/>
        <v>42474294.140000001</v>
      </c>
      <c r="U476" s="85">
        <f t="shared" si="207"/>
        <v>0</v>
      </c>
      <c r="V476" s="85">
        <f t="shared" si="207"/>
        <v>0</v>
      </c>
      <c r="W476" s="85">
        <f t="shared" si="207"/>
        <v>42474294.140000001</v>
      </c>
      <c r="X476" s="85">
        <f t="shared" si="207"/>
        <v>42474294.140000001</v>
      </c>
      <c r="Y476" s="85">
        <f t="shared" si="207"/>
        <v>0</v>
      </c>
      <c r="Z476" s="85">
        <f t="shared" si="207"/>
        <v>42474294.140000001</v>
      </c>
    </row>
    <row r="477" spans="2:26" ht="25.5" x14ac:dyDescent="0.2">
      <c r="B477" s="100" t="s">
        <v>41</v>
      </c>
      <c r="C477" s="39" t="s">
        <v>7</v>
      </c>
      <c r="D477" s="16" t="s">
        <v>83</v>
      </c>
      <c r="E477" s="16" t="s">
        <v>83</v>
      </c>
      <c r="F477" s="16" t="s">
        <v>83</v>
      </c>
      <c r="G477" s="16" t="s">
        <v>13</v>
      </c>
      <c r="H477" s="11" t="s">
        <v>83</v>
      </c>
      <c r="I477" s="102"/>
      <c r="J477" s="40">
        <f t="shared" ref="J477:X477" si="208">J478+J480+J482</f>
        <v>16376638.829999998</v>
      </c>
      <c r="K477" s="97">
        <f t="shared" si="208"/>
        <v>0</v>
      </c>
      <c r="L477" s="98">
        <f t="shared" si="208"/>
        <v>41328670.539999999</v>
      </c>
      <c r="M477" s="98">
        <f t="shared" si="208"/>
        <v>0</v>
      </c>
      <c r="N477" s="98">
        <f t="shared" si="208"/>
        <v>41328670.539999999</v>
      </c>
      <c r="O477" s="98">
        <f t="shared" si="208"/>
        <v>41328670.539999999</v>
      </c>
      <c r="P477" s="98">
        <f t="shared" si="208"/>
        <v>0</v>
      </c>
      <c r="Q477" s="98">
        <f>Q478+Q480+Q482</f>
        <v>0</v>
      </c>
      <c r="R477" s="98">
        <f>R478+R480+R482</f>
        <v>41328670.539999999</v>
      </c>
      <c r="S477" s="98">
        <f t="shared" si="208"/>
        <v>41328670.539999999</v>
      </c>
      <c r="T477" s="99">
        <f t="shared" si="208"/>
        <v>41328670.539999999</v>
      </c>
      <c r="U477" s="99">
        <f t="shared" si="208"/>
        <v>0</v>
      </c>
      <c r="V477" s="98">
        <f>V478+V480+V482</f>
        <v>0</v>
      </c>
      <c r="W477" s="98">
        <f>W478+W480+W482</f>
        <v>41328670.539999999</v>
      </c>
      <c r="X477" s="99">
        <f t="shared" si="208"/>
        <v>41328670.539999999</v>
      </c>
      <c r="Y477" s="99">
        <f>Y478+Y480+Y482</f>
        <v>0</v>
      </c>
      <c r="Z477" s="99">
        <f>Z478+Z480+Z482</f>
        <v>41328670.539999999</v>
      </c>
    </row>
    <row r="478" spans="2:26" ht="51" x14ac:dyDescent="0.2">
      <c r="B478" s="100" t="s">
        <v>57</v>
      </c>
      <c r="C478" s="39" t="s">
        <v>7</v>
      </c>
      <c r="D478" s="16" t="s">
        <v>83</v>
      </c>
      <c r="E478" s="16" t="s">
        <v>83</v>
      </c>
      <c r="F478" s="16" t="s">
        <v>83</v>
      </c>
      <c r="G478" s="16" t="s">
        <v>13</v>
      </c>
      <c r="H478" s="11" t="s">
        <v>83</v>
      </c>
      <c r="I478" s="102">
        <v>100</v>
      </c>
      <c r="J478" s="40">
        <f t="shared" ref="J478:Z478" si="209">J479</f>
        <v>10190538.369999999</v>
      </c>
      <c r="K478" s="97">
        <f t="shared" si="209"/>
        <v>0</v>
      </c>
      <c r="L478" s="104">
        <f t="shared" si="209"/>
        <v>23122426.870000001</v>
      </c>
      <c r="M478" s="104">
        <f t="shared" si="209"/>
        <v>0</v>
      </c>
      <c r="N478" s="104">
        <f t="shared" si="209"/>
        <v>23122426.870000001</v>
      </c>
      <c r="O478" s="104">
        <f t="shared" si="209"/>
        <v>23122426.870000001</v>
      </c>
      <c r="P478" s="104">
        <f t="shared" si="209"/>
        <v>0</v>
      </c>
      <c r="Q478" s="104">
        <f t="shared" si="209"/>
        <v>0</v>
      </c>
      <c r="R478" s="104">
        <f t="shared" si="209"/>
        <v>23122426.870000001</v>
      </c>
      <c r="S478" s="104">
        <f t="shared" si="209"/>
        <v>23122426.870000001</v>
      </c>
      <c r="T478" s="104">
        <f t="shared" si="209"/>
        <v>23122426.870000001</v>
      </c>
      <c r="U478" s="104">
        <f t="shared" si="209"/>
        <v>0</v>
      </c>
      <c r="V478" s="104">
        <f t="shared" si="209"/>
        <v>0</v>
      </c>
      <c r="W478" s="104">
        <f t="shared" si="209"/>
        <v>23122426.870000001</v>
      </c>
      <c r="X478" s="104">
        <f t="shared" si="209"/>
        <v>23122426.870000001</v>
      </c>
      <c r="Y478" s="104">
        <f t="shared" si="209"/>
        <v>0</v>
      </c>
      <c r="Z478" s="104">
        <f t="shared" si="209"/>
        <v>23122426.870000001</v>
      </c>
    </row>
    <row r="479" spans="2:26" x14ac:dyDescent="0.2">
      <c r="B479" s="100" t="s">
        <v>76</v>
      </c>
      <c r="C479" s="39" t="s">
        <v>7</v>
      </c>
      <c r="D479" s="16" t="s">
        <v>83</v>
      </c>
      <c r="E479" s="16" t="s">
        <v>83</v>
      </c>
      <c r="F479" s="16" t="s">
        <v>83</v>
      </c>
      <c r="G479" s="16" t="s">
        <v>13</v>
      </c>
      <c r="H479" s="11" t="s">
        <v>83</v>
      </c>
      <c r="I479" s="102" t="s">
        <v>56</v>
      </c>
      <c r="J479" s="12">
        <v>10190538.369999999</v>
      </c>
      <c r="K479" s="103">
        <v>0</v>
      </c>
      <c r="L479" s="104">
        <f>23042839.23+79587.64</f>
        <v>23122426.870000001</v>
      </c>
      <c r="M479" s="104">
        <v>0</v>
      </c>
      <c r="N479" s="104">
        <f>23042839.23+79587.64</f>
        <v>23122426.870000001</v>
      </c>
      <c r="O479" s="104">
        <f>23042839.23+79587.64</f>
        <v>23122426.870000001</v>
      </c>
      <c r="P479" s="104">
        <v>0</v>
      </c>
      <c r="Q479" s="104">
        <v>0</v>
      </c>
      <c r="R479" s="104">
        <f>23042839.23+79587.64</f>
        <v>23122426.870000001</v>
      </c>
      <c r="S479" s="104">
        <f>23042839.23+79587.64</f>
        <v>23122426.870000001</v>
      </c>
      <c r="T479" s="104">
        <f>23042839.23+79587.64</f>
        <v>23122426.870000001</v>
      </c>
      <c r="U479" s="104">
        <v>0</v>
      </c>
      <c r="V479" s="104">
        <v>0</v>
      </c>
      <c r="W479" s="104">
        <f>23042839.23+79587.64</f>
        <v>23122426.870000001</v>
      </c>
      <c r="X479" s="104">
        <f>23042839.23+79587.64</f>
        <v>23122426.870000001</v>
      </c>
      <c r="Y479" s="104">
        <v>0</v>
      </c>
      <c r="Z479" s="104">
        <f>23042839.23+79587.64</f>
        <v>23122426.870000001</v>
      </c>
    </row>
    <row r="480" spans="2:26" ht="25.5" x14ac:dyDescent="0.2">
      <c r="B480" s="100" t="s">
        <v>42</v>
      </c>
      <c r="C480" s="39" t="s">
        <v>7</v>
      </c>
      <c r="D480" s="16" t="s">
        <v>83</v>
      </c>
      <c r="E480" s="16" t="s">
        <v>83</v>
      </c>
      <c r="F480" s="16" t="s">
        <v>83</v>
      </c>
      <c r="G480" s="16" t="s">
        <v>13</v>
      </c>
      <c r="H480" s="11" t="s">
        <v>83</v>
      </c>
      <c r="I480" s="102">
        <v>200</v>
      </c>
      <c r="J480" s="12">
        <f t="shared" ref="J480:Z480" si="210">J481</f>
        <v>6026036.46</v>
      </c>
      <c r="K480" s="103">
        <f t="shared" si="210"/>
        <v>0</v>
      </c>
      <c r="L480" s="104">
        <f t="shared" si="210"/>
        <v>18062853.669999998</v>
      </c>
      <c r="M480" s="104">
        <f t="shared" si="210"/>
        <v>0</v>
      </c>
      <c r="N480" s="104">
        <f t="shared" si="210"/>
        <v>18062853.669999998</v>
      </c>
      <c r="O480" s="104">
        <f t="shared" si="210"/>
        <v>18062853.669999998</v>
      </c>
      <c r="P480" s="104">
        <f t="shared" si="210"/>
        <v>0</v>
      </c>
      <c r="Q480" s="104">
        <f t="shared" si="210"/>
        <v>0</v>
      </c>
      <c r="R480" s="104">
        <f t="shared" si="210"/>
        <v>18062853.669999998</v>
      </c>
      <c r="S480" s="104">
        <f t="shared" si="210"/>
        <v>18062853.669999998</v>
      </c>
      <c r="T480" s="104">
        <f t="shared" si="210"/>
        <v>18062853.669999998</v>
      </c>
      <c r="U480" s="104">
        <f t="shared" si="210"/>
        <v>0</v>
      </c>
      <c r="V480" s="104">
        <f t="shared" si="210"/>
        <v>0</v>
      </c>
      <c r="W480" s="104">
        <f t="shared" si="210"/>
        <v>18062853.669999998</v>
      </c>
      <c r="X480" s="104">
        <f t="shared" si="210"/>
        <v>18062853.669999998</v>
      </c>
      <c r="Y480" s="104">
        <f t="shared" si="210"/>
        <v>0</v>
      </c>
      <c r="Z480" s="104">
        <f t="shared" si="210"/>
        <v>18062853.669999998</v>
      </c>
    </row>
    <row r="481" spans="2:26" ht="25.5" x14ac:dyDescent="0.2">
      <c r="B481" s="100" t="s">
        <v>44</v>
      </c>
      <c r="C481" s="39" t="s">
        <v>7</v>
      </c>
      <c r="D481" s="16" t="s">
        <v>83</v>
      </c>
      <c r="E481" s="16" t="s">
        <v>83</v>
      </c>
      <c r="F481" s="16" t="s">
        <v>83</v>
      </c>
      <c r="G481" s="16" t="s">
        <v>13</v>
      </c>
      <c r="H481" s="11" t="s">
        <v>83</v>
      </c>
      <c r="I481" s="102">
        <v>240</v>
      </c>
      <c r="J481" s="12">
        <v>6026036.46</v>
      </c>
      <c r="K481" s="103">
        <v>0</v>
      </c>
      <c r="L481" s="104">
        <f>18142441.31-79587.64</f>
        <v>18062853.669999998</v>
      </c>
      <c r="M481" s="104">
        <v>0</v>
      </c>
      <c r="N481" s="104">
        <f>18142441.31-79587.64</f>
        <v>18062853.669999998</v>
      </c>
      <c r="O481" s="104">
        <f>18142441.31-79587.64</f>
        <v>18062853.669999998</v>
      </c>
      <c r="P481" s="104">
        <v>0</v>
      </c>
      <c r="Q481" s="104">
        <v>0</v>
      </c>
      <c r="R481" s="104">
        <f>18142441.31-79587.64</f>
        <v>18062853.669999998</v>
      </c>
      <c r="S481" s="104">
        <f>18142441.31-79587.64</f>
        <v>18062853.669999998</v>
      </c>
      <c r="T481" s="104">
        <f>18142441.31-79587.64</f>
        <v>18062853.669999998</v>
      </c>
      <c r="U481" s="104">
        <v>0</v>
      </c>
      <c r="V481" s="104">
        <v>0</v>
      </c>
      <c r="W481" s="104">
        <f>18142441.31-79587.64</f>
        <v>18062853.669999998</v>
      </c>
      <c r="X481" s="104">
        <f>18142441.31-79587.64</f>
        <v>18062853.669999998</v>
      </c>
      <c r="Y481" s="104">
        <v>0</v>
      </c>
      <c r="Z481" s="104">
        <f>18142441.31-79587.64</f>
        <v>18062853.669999998</v>
      </c>
    </row>
    <row r="482" spans="2:26" x14ac:dyDescent="0.2">
      <c r="B482" s="100" t="s">
        <v>52</v>
      </c>
      <c r="C482" s="39" t="s">
        <v>7</v>
      </c>
      <c r="D482" s="16" t="s">
        <v>83</v>
      </c>
      <c r="E482" s="16" t="s">
        <v>83</v>
      </c>
      <c r="F482" s="16" t="s">
        <v>83</v>
      </c>
      <c r="G482" s="16" t="s">
        <v>13</v>
      </c>
      <c r="H482" s="11" t="s">
        <v>83</v>
      </c>
      <c r="I482" s="102">
        <v>800</v>
      </c>
      <c r="J482" s="12">
        <f t="shared" ref="J482:Z482" si="211">J483</f>
        <v>160064</v>
      </c>
      <c r="K482" s="103">
        <f t="shared" si="211"/>
        <v>0</v>
      </c>
      <c r="L482" s="104">
        <f t="shared" si="211"/>
        <v>143390</v>
      </c>
      <c r="M482" s="104">
        <f t="shared" si="211"/>
        <v>0</v>
      </c>
      <c r="N482" s="104">
        <f t="shared" si="211"/>
        <v>143390</v>
      </c>
      <c r="O482" s="104">
        <f t="shared" si="211"/>
        <v>143390</v>
      </c>
      <c r="P482" s="104">
        <f t="shared" si="211"/>
        <v>0</v>
      </c>
      <c r="Q482" s="104">
        <f t="shared" si="211"/>
        <v>0</v>
      </c>
      <c r="R482" s="104">
        <f t="shared" si="211"/>
        <v>143390</v>
      </c>
      <c r="S482" s="104">
        <f t="shared" si="211"/>
        <v>143390</v>
      </c>
      <c r="T482" s="104">
        <f t="shared" si="211"/>
        <v>143390</v>
      </c>
      <c r="U482" s="104">
        <f t="shared" si="211"/>
        <v>0</v>
      </c>
      <c r="V482" s="104">
        <f t="shared" si="211"/>
        <v>0</v>
      </c>
      <c r="W482" s="104">
        <f t="shared" si="211"/>
        <v>143390</v>
      </c>
      <c r="X482" s="104">
        <f t="shared" si="211"/>
        <v>143390</v>
      </c>
      <c r="Y482" s="104">
        <f t="shared" si="211"/>
        <v>0</v>
      </c>
      <c r="Z482" s="104">
        <f t="shared" si="211"/>
        <v>143390</v>
      </c>
    </row>
    <row r="483" spans="2:26" x14ac:dyDescent="0.2">
      <c r="B483" s="100" t="s">
        <v>54</v>
      </c>
      <c r="C483" s="39" t="s">
        <v>7</v>
      </c>
      <c r="D483" s="16" t="s">
        <v>83</v>
      </c>
      <c r="E483" s="16" t="s">
        <v>83</v>
      </c>
      <c r="F483" s="16" t="s">
        <v>83</v>
      </c>
      <c r="G483" s="16" t="s">
        <v>13</v>
      </c>
      <c r="H483" s="11" t="s">
        <v>83</v>
      </c>
      <c r="I483" s="102">
        <v>850</v>
      </c>
      <c r="J483" s="12">
        <v>160064</v>
      </c>
      <c r="K483" s="103">
        <v>0</v>
      </c>
      <c r="L483" s="104">
        <v>143390</v>
      </c>
      <c r="M483" s="104">
        <v>0</v>
      </c>
      <c r="N483" s="104">
        <v>143390</v>
      </c>
      <c r="O483" s="104">
        <v>143390</v>
      </c>
      <c r="P483" s="104">
        <v>0</v>
      </c>
      <c r="Q483" s="104">
        <v>0</v>
      </c>
      <c r="R483" s="104">
        <v>143390</v>
      </c>
      <c r="S483" s="104">
        <v>143390</v>
      </c>
      <c r="T483" s="104">
        <v>143390</v>
      </c>
      <c r="U483" s="104">
        <v>0</v>
      </c>
      <c r="V483" s="104">
        <v>0</v>
      </c>
      <c r="W483" s="104">
        <v>143390</v>
      </c>
      <c r="X483" s="104">
        <v>143390</v>
      </c>
      <c r="Y483" s="104">
        <v>0</v>
      </c>
      <c r="Z483" s="104">
        <v>143390</v>
      </c>
    </row>
    <row r="484" spans="2:26" ht="25.5" x14ac:dyDescent="0.2">
      <c r="B484" s="95" t="s">
        <v>37</v>
      </c>
      <c r="C484" s="39" t="s">
        <v>7</v>
      </c>
      <c r="D484" s="16" t="s">
        <v>83</v>
      </c>
      <c r="E484" s="16" t="s">
        <v>83</v>
      </c>
      <c r="F484" s="16" t="s">
        <v>83</v>
      </c>
      <c r="G484" s="16" t="s">
        <v>16</v>
      </c>
      <c r="H484" s="11" t="s">
        <v>83</v>
      </c>
      <c r="I484" s="102"/>
      <c r="J484" s="40">
        <f t="shared" ref="J484:X484" si="212">J487+J491+J485+J489</f>
        <v>742186</v>
      </c>
      <c r="K484" s="97">
        <f t="shared" si="212"/>
        <v>0</v>
      </c>
      <c r="L484" s="98">
        <f t="shared" si="212"/>
        <v>139100</v>
      </c>
      <c r="M484" s="98">
        <f t="shared" si="212"/>
        <v>0</v>
      </c>
      <c r="N484" s="98">
        <f t="shared" si="212"/>
        <v>139100</v>
      </c>
      <c r="O484" s="98">
        <f t="shared" si="212"/>
        <v>705623.6</v>
      </c>
      <c r="P484" s="98">
        <f t="shared" si="212"/>
        <v>0</v>
      </c>
      <c r="Q484" s="98">
        <f>Q487+Q491+Q485+Q489</f>
        <v>0</v>
      </c>
      <c r="R484" s="98">
        <f>R487+R491+R485+R489</f>
        <v>139100</v>
      </c>
      <c r="S484" s="98">
        <f t="shared" si="212"/>
        <v>705623.6</v>
      </c>
      <c r="T484" s="99">
        <f t="shared" si="212"/>
        <v>705623.6</v>
      </c>
      <c r="U484" s="99">
        <f t="shared" si="212"/>
        <v>0</v>
      </c>
      <c r="V484" s="98">
        <f>V487+V491+V485+V489</f>
        <v>0</v>
      </c>
      <c r="W484" s="98">
        <f>W487+W491+W485+W489</f>
        <v>705623.6</v>
      </c>
      <c r="X484" s="99">
        <f t="shared" si="212"/>
        <v>705623.6</v>
      </c>
      <c r="Y484" s="99">
        <f>Y487+Y491+Y485+Y489</f>
        <v>0</v>
      </c>
      <c r="Z484" s="99">
        <f>Z487+Z491+Z485+Z489</f>
        <v>705623.6</v>
      </c>
    </row>
    <row r="485" spans="2:26" ht="51" x14ac:dyDescent="0.2">
      <c r="B485" s="100" t="s">
        <v>57</v>
      </c>
      <c r="C485" s="34" t="s">
        <v>7</v>
      </c>
      <c r="D485" s="10" t="s">
        <v>83</v>
      </c>
      <c r="E485" s="10" t="s">
        <v>83</v>
      </c>
      <c r="F485" s="10" t="s">
        <v>83</v>
      </c>
      <c r="G485" s="10" t="s">
        <v>16</v>
      </c>
      <c r="H485" s="11" t="s">
        <v>83</v>
      </c>
      <c r="I485" s="102" t="s">
        <v>50</v>
      </c>
      <c r="J485" s="40">
        <f t="shared" ref="J485:Z485" si="213">J486</f>
        <v>24000</v>
      </c>
      <c r="K485" s="97">
        <f t="shared" si="213"/>
        <v>0</v>
      </c>
      <c r="L485" s="104">
        <f t="shared" si="213"/>
        <v>0</v>
      </c>
      <c r="M485" s="104">
        <f t="shared" si="213"/>
        <v>0</v>
      </c>
      <c r="N485" s="104">
        <f t="shared" si="213"/>
        <v>0</v>
      </c>
      <c r="O485" s="104">
        <f t="shared" si="213"/>
        <v>24000</v>
      </c>
      <c r="P485" s="104">
        <f t="shared" si="213"/>
        <v>0</v>
      </c>
      <c r="Q485" s="104">
        <f t="shared" si="213"/>
        <v>0</v>
      </c>
      <c r="R485" s="104">
        <f t="shared" si="213"/>
        <v>0</v>
      </c>
      <c r="S485" s="104">
        <f t="shared" si="213"/>
        <v>24000</v>
      </c>
      <c r="T485" s="104">
        <f t="shared" si="213"/>
        <v>24000</v>
      </c>
      <c r="U485" s="104">
        <f t="shared" si="213"/>
        <v>0</v>
      </c>
      <c r="V485" s="104">
        <f t="shared" si="213"/>
        <v>0</v>
      </c>
      <c r="W485" s="104">
        <f t="shared" si="213"/>
        <v>24000</v>
      </c>
      <c r="X485" s="104">
        <f t="shared" si="213"/>
        <v>24000</v>
      </c>
      <c r="Y485" s="104">
        <f t="shared" si="213"/>
        <v>0</v>
      </c>
      <c r="Z485" s="104">
        <f t="shared" si="213"/>
        <v>24000</v>
      </c>
    </row>
    <row r="486" spans="2:26" ht="25.5" x14ac:dyDescent="0.2">
      <c r="B486" s="100" t="s">
        <v>51</v>
      </c>
      <c r="C486" s="34" t="s">
        <v>7</v>
      </c>
      <c r="D486" s="10" t="s">
        <v>83</v>
      </c>
      <c r="E486" s="10" t="s">
        <v>83</v>
      </c>
      <c r="F486" s="10" t="s">
        <v>83</v>
      </c>
      <c r="G486" s="10" t="s">
        <v>16</v>
      </c>
      <c r="H486" s="11" t="s">
        <v>83</v>
      </c>
      <c r="I486" s="102" t="s">
        <v>115</v>
      </c>
      <c r="J486" s="12">
        <v>24000</v>
      </c>
      <c r="K486" s="103">
        <v>0</v>
      </c>
      <c r="L486" s="104">
        <v>0</v>
      </c>
      <c r="M486" s="104">
        <v>0</v>
      </c>
      <c r="N486" s="104">
        <v>0</v>
      </c>
      <c r="O486" s="104">
        <v>24000</v>
      </c>
      <c r="P486" s="104">
        <v>0</v>
      </c>
      <c r="Q486" s="104">
        <v>0</v>
      </c>
      <c r="R486" s="104">
        <v>0</v>
      </c>
      <c r="S486" s="104">
        <v>24000</v>
      </c>
      <c r="T486" s="104">
        <v>24000</v>
      </c>
      <c r="U486" s="104">
        <v>0</v>
      </c>
      <c r="V486" s="104">
        <v>0</v>
      </c>
      <c r="W486" s="104">
        <v>24000</v>
      </c>
      <c r="X486" s="104">
        <v>24000</v>
      </c>
      <c r="Y486" s="104">
        <v>0</v>
      </c>
      <c r="Z486" s="104">
        <v>24000</v>
      </c>
    </row>
    <row r="487" spans="2:26" ht="25.5" x14ac:dyDescent="0.2">
      <c r="B487" s="100" t="s">
        <v>42</v>
      </c>
      <c r="C487" s="34" t="s">
        <v>7</v>
      </c>
      <c r="D487" s="10" t="s">
        <v>83</v>
      </c>
      <c r="E487" s="10" t="s">
        <v>83</v>
      </c>
      <c r="F487" s="10" t="s">
        <v>83</v>
      </c>
      <c r="G487" s="10" t="s">
        <v>16</v>
      </c>
      <c r="H487" s="11" t="s">
        <v>83</v>
      </c>
      <c r="I487" s="102">
        <v>200</v>
      </c>
      <c r="J487" s="12">
        <f t="shared" ref="J487:Z487" si="214">J488</f>
        <v>623186</v>
      </c>
      <c r="K487" s="103">
        <f t="shared" si="214"/>
        <v>0</v>
      </c>
      <c r="L487" s="104">
        <f t="shared" si="214"/>
        <v>139100</v>
      </c>
      <c r="M487" s="104">
        <f t="shared" si="214"/>
        <v>0</v>
      </c>
      <c r="N487" s="104">
        <f t="shared" si="214"/>
        <v>139100</v>
      </c>
      <c r="O487" s="104">
        <f t="shared" si="214"/>
        <v>546623.6</v>
      </c>
      <c r="P487" s="104">
        <f t="shared" si="214"/>
        <v>0</v>
      </c>
      <c r="Q487" s="104">
        <f t="shared" si="214"/>
        <v>0</v>
      </c>
      <c r="R487" s="104">
        <f t="shared" si="214"/>
        <v>139100</v>
      </c>
      <c r="S487" s="104">
        <f t="shared" si="214"/>
        <v>546623.6</v>
      </c>
      <c r="T487" s="104">
        <f t="shared" si="214"/>
        <v>546623.6</v>
      </c>
      <c r="U487" s="104">
        <f t="shared" si="214"/>
        <v>0</v>
      </c>
      <c r="V487" s="104">
        <f t="shared" si="214"/>
        <v>0</v>
      </c>
      <c r="W487" s="104">
        <f t="shared" si="214"/>
        <v>546623.6</v>
      </c>
      <c r="X487" s="104">
        <f t="shared" si="214"/>
        <v>546623.6</v>
      </c>
      <c r="Y487" s="104">
        <f t="shared" si="214"/>
        <v>0</v>
      </c>
      <c r="Z487" s="104">
        <f t="shared" si="214"/>
        <v>546623.6</v>
      </c>
    </row>
    <row r="488" spans="2:26" ht="25.5" x14ac:dyDescent="0.2">
      <c r="B488" s="250" t="s">
        <v>44</v>
      </c>
      <c r="C488" s="10" t="s">
        <v>7</v>
      </c>
      <c r="D488" s="10" t="s">
        <v>83</v>
      </c>
      <c r="E488" s="10" t="s">
        <v>83</v>
      </c>
      <c r="F488" s="10" t="s">
        <v>83</v>
      </c>
      <c r="G488" s="10" t="s">
        <v>16</v>
      </c>
      <c r="H488" s="11" t="s">
        <v>83</v>
      </c>
      <c r="I488" s="102">
        <v>240</v>
      </c>
      <c r="J488" s="12">
        <v>623186</v>
      </c>
      <c r="K488" s="103">
        <v>0</v>
      </c>
      <c r="L488" s="104">
        <v>139100</v>
      </c>
      <c r="M488" s="104">
        <v>0</v>
      </c>
      <c r="N488" s="104">
        <v>139100</v>
      </c>
      <c r="O488" s="104">
        <f>474683.6+71940</f>
        <v>546623.6</v>
      </c>
      <c r="P488" s="104">
        <v>0</v>
      </c>
      <c r="Q488" s="104">
        <v>0</v>
      </c>
      <c r="R488" s="104">
        <v>139100</v>
      </c>
      <c r="S488" s="104">
        <f>474683.6+71940</f>
        <v>546623.6</v>
      </c>
      <c r="T488" s="104">
        <f>474683.6+71940</f>
        <v>546623.6</v>
      </c>
      <c r="U488" s="104">
        <v>0</v>
      </c>
      <c r="V488" s="104">
        <v>0</v>
      </c>
      <c r="W488" s="104">
        <f>474683.6+71940</f>
        <v>546623.6</v>
      </c>
      <c r="X488" s="104">
        <f>474683.6+71940</f>
        <v>546623.6</v>
      </c>
      <c r="Y488" s="104">
        <v>0</v>
      </c>
      <c r="Z488" s="104">
        <f>474683.6+71940</f>
        <v>546623.6</v>
      </c>
    </row>
    <row r="489" spans="2:26" ht="25.5" x14ac:dyDescent="0.2">
      <c r="B489" s="291" t="s">
        <v>100</v>
      </c>
      <c r="C489" s="10" t="s">
        <v>7</v>
      </c>
      <c r="D489" s="10" t="s">
        <v>83</v>
      </c>
      <c r="E489" s="10" t="s">
        <v>83</v>
      </c>
      <c r="F489" s="10" t="s">
        <v>83</v>
      </c>
      <c r="G489" s="10" t="s">
        <v>16</v>
      </c>
      <c r="H489" s="11" t="s">
        <v>83</v>
      </c>
      <c r="I489" s="102" t="s">
        <v>47</v>
      </c>
      <c r="J489" s="12">
        <f t="shared" ref="J489:Z489" si="215">J490</f>
        <v>60000</v>
      </c>
      <c r="K489" s="103">
        <f t="shared" si="215"/>
        <v>0</v>
      </c>
      <c r="L489" s="104">
        <f t="shared" si="215"/>
        <v>0</v>
      </c>
      <c r="M489" s="104">
        <f t="shared" si="215"/>
        <v>0</v>
      </c>
      <c r="N489" s="104">
        <f t="shared" si="215"/>
        <v>0</v>
      </c>
      <c r="O489" s="104">
        <f t="shared" si="215"/>
        <v>60000</v>
      </c>
      <c r="P489" s="104">
        <f t="shared" si="215"/>
        <v>0</v>
      </c>
      <c r="Q489" s="104">
        <f t="shared" si="215"/>
        <v>0</v>
      </c>
      <c r="R489" s="104">
        <f t="shared" si="215"/>
        <v>0</v>
      </c>
      <c r="S489" s="104">
        <f t="shared" si="215"/>
        <v>60000</v>
      </c>
      <c r="T489" s="104">
        <f t="shared" si="215"/>
        <v>60000</v>
      </c>
      <c r="U489" s="104">
        <f t="shared" si="215"/>
        <v>0</v>
      </c>
      <c r="V489" s="104">
        <f t="shared" si="215"/>
        <v>0</v>
      </c>
      <c r="W489" s="104">
        <f t="shared" si="215"/>
        <v>60000</v>
      </c>
      <c r="X489" s="104">
        <f t="shared" si="215"/>
        <v>60000</v>
      </c>
      <c r="Y489" s="104">
        <f t="shared" si="215"/>
        <v>0</v>
      </c>
      <c r="Z489" s="104">
        <f t="shared" si="215"/>
        <v>60000</v>
      </c>
    </row>
    <row r="490" spans="2:26" x14ac:dyDescent="0.2">
      <c r="B490" s="250" t="s">
        <v>101</v>
      </c>
      <c r="C490" s="10" t="s">
        <v>7</v>
      </c>
      <c r="D490" s="10" t="s">
        <v>83</v>
      </c>
      <c r="E490" s="10" t="s">
        <v>83</v>
      </c>
      <c r="F490" s="10" t="s">
        <v>83</v>
      </c>
      <c r="G490" s="10" t="s">
        <v>16</v>
      </c>
      <c r="H490" s="11" t="s">
        <v>83</v>
      </c>
      <c r="I490" s="102" t="s">
        <v>99</v>
      </c>
      <c r="J490" s="12">
        <v>60000</v>
      </c>
      <c r="K490" s="103">
        <v>0</v>
      </c>
      <c r="L490" s="104">
        <v>0</v>
      </c>
      <c r="M490" s="104">
        <v>0</v>
      </c>
      <c r="N490" s="104">
        <v>0</v>
      </c>
      <c r="O490" s="104">
        <v>60000</v>
      </c>
      <c r="P490" s="104">
        <v>0</v>
      </c>
      <c r="Q490" s="104">
        <v>0</v>
      </c>
      <c r="R490" s="104">
        <v>0</v>
      </c>
      <c r="S490" s="104">
        <v>60000</v>
      </c>
      <c r="T490" s="104">
        <v>60000</v>
      </c>
      <c r="U490" s="104">
        <v>0</v>
      </c>
      <c r="V490" s="104">
        <v>0</v>
      </c>
      <c r="W490" s="104">
        <v>60000</v>
      </c>
      <c r="X490" s="104">
        <v>60000</v>
      </c>
      <c r="Y490" s="104">
        <v>0</v>
      </c>
      <c r="Z490" s="104">
        <v>60000</v>
      </c>
    </row>
    <row r="491" spans="2:26" x14ac:dyDescent="0.2">
      <c r="B491" s="250" t="s">
        <v>52</v>
      </c>
      <c r="C491" s="10" t="s">
        <v>7</v>
      </c>
      <c r="D491" s="10" t="s">
        <v>83</v>
      </c>
      <c r="E491" s="10" t="s">
        <v>83</v>
      </c>
      <c r="F491" s="10" t="s">
        <v>83</v>
      </c>
      <c r="G491" s="10" t="s">
        <v>16</v>
      </c>
      <c r="H491" s="11" t="s">
        <v>83</v>
      </c>
      <c r="I491" s="102" t="s">
        <v>53</v>
      </c>
      <c r="J491" s="12">
        <f t="shared" ref="J491:Z491" si="216">J492</f>
        <v>35000</v>
      </c>
      <c r="K491" s="103">
        <f t="shared" si="216"/>
        <v>0</v>
      </c>
      <c r="L491" s="104">
        <f t="shared" si="216"/>
        <v>0</v>
      </c>
      <c r="M491" s="104">
        <f t="shared" si="216"/>
        <v>0</v>
      </c>
      <c r="N491" s="104">
        <f t="shared" si="216"/>
        <v>0</v>
      </c>
      <c r="O491" s="104">
        <f t="shared" si="216"/>
        <v>75000</v>
      </c>
      <c r="P491" s="104">
        <f t="shared" si="216"/>
        <v>0</v>
      </c>
      <c r="Q491" s="104">
        <f t="shared" si="216"/>
        <v>0</v>
      </c>
      <c r="R491" s="104">
        <f t="shared" si="216"/>
        <v>0</v>
      </c>
      <c r="S491" s="104">
        <f t="shared" si="216"/>
        <v>75000</v>
      </c>
      <c r="T491" s="104">
        <f t="shared" si="216"/>
        <v>75000</v>
      </c>
      <c r="U491" s="104">
        <f t="shared" si="216"/>
        <v>0</v>
      </c>
      <c r="V491" s="104">
        <f t="shared" si="216"/>
        <v>0</v>
      </c>
      <c r="W491" s="104">
        <f t="shared" si="216"/>
        <v>75000</v>
      </c>
      <c r="X491" s="104">
        <f t="shared" si="216"/>
        <v>75000</v>
      </c>
      <c r="Y491" s="104">
        <f t="shared" si="216"/>
        <v>0</v>
      </c>
      <c r="Z491" s="104">
        <f t="shared" si="216"/>
        <v>75000</v>
      </c>
    </row>
    <row r="492" spans="2:26" x14ac:dyDescent="0.2">
      <c r="B492" s="250" t="s">
        <v>54</v>
      </c>
      <c r="C492" s="10" t="s">
        <v>7</v>
      </c>
      <c r="D492" s="10" t="s">
        <v>83</v>
      </c>
      <c r="E492" s="10" t="s">
        <v>83</v>
      </c>
      <c r="F492" s="10" t="s">
        <v>83</v>
      </c>
      <c r="G492" s="10" t="s">
        <v>16</v>
      </c>
      <c r="H492" s="11" t="s">
        <v>83</v>
      </c>
      <c r="I492" s="102" t="s">
        <v>55</v>
      </c>
      <c r="J492" s="12">
        <v>35000</v>
      </c>
      <c r="K492" s="103">
        <v>0</v>
      </c>
      <c r="L492" s="104">
        <v>0</v>
      </c>
      <c r="M492" s="104">
        <v>0</v>
      </c>
      <c r="N492" s="104">
        <v>0</v>
      </c>
      <c r="O492" s="104">
        <v>75000</v>
      </c>
      <c r="P492" s="104">
        <v>0</v>
      </c>
      <c r="Q492" s="104">
        <v>0</v>
      </c>
      <c r="R492" s="104">
        <v>0</v>
      </c>
      <c r="S492" s="104">
        <v>75000</v>
      </c>
      <c r="T492" s="104">
        <v>75000</v>
      </c>
      <c r="U492" s="104">
        <v>0</v>
      </c>
      <c r="V492" s="104">
        <v>0</v>
      </c>
      <c r="W492" s="104">
        <v>75000</v>
      </c>
      <c r="X492" s="104">
        <v>75000</v>
      </c>
      <c r="Y492" s="104">
        <v>0</v>
      </c>
      <c r="Z492" s="104">
        <v>75000</v>
      </c>
    </row>
    <row r="493" spans="2:26" x14ac:dyDescent="0.2">
      <c r="B493" s="251" t="s">
        <v>38</v>
      </c>
      <c r="C493" s="16" t="s">
        <v>7</v>
      </c>
      <c r="D493" s="16" t="s">
        <v>83</v>
      </c>
      <c r="E493" s="16" t="s">
        <v>83</v>
      </c>
      <c r="F493" s="16" t="s">
        <v>83</v>
      </c>
      <c r="G493" s="16" t="s">
        <v>8</v>
      </c>
      <c r="H493" s="11" t="s">
        <v>83</v>
      </c>
      <c r="I493" s="102"/>
      <c r="J493" s="40">
        <f t="shared" ref="J493:Y494" si="217">J494</f>
        <v>240000</v>
      </c>
      <c r="K493" s="97">
        <f t="shared" si="217"/>
        <v>0</v>
      </c>
      <c r="L493" s="98">
        <f t="shared" si="217"/>
        <v>0</v>
      </c>
      <c r="M493" s="98">
        <f t="shared" si="217"/>
        <v>0</v>
      </c>
      <c r="N493" s="98">
        <f t="shared" si="217"/>
        <v>0</v>
      </c>
      <c r="O493" s="98">
        <f t="shared" si="217"/>
        <v>440000</v>
      </c>
      <c r="P493" s="98">
        <f t="shared" si="217"/>
        <v>0</v>
      </c>
      <c r="Q493" s="98">
        <f t="shared" si="217"/>
        <v>0</v>
      </c>
      <c r="R493" s="98">
        <f t="shared" si="217"/>
        <v>0</v>
      </c>
      <c r="S493" s="98">
        <f t="shared" si="217"/>
        <v>440000</v>
      </c>
      <c r="T493" s="99">
        <f t="shared" si="217"/>
        <v>440000</v>
      </c>
      <c r="U493" s="99">
        <f t="shared" si="217"/>
        <v>0</v>
      </c>
      <c r="V493" s="98">
        <f t="shared" si="217"/>
        <v>0</v>
      </c>
      <c r="W493" s="98">
        <f t="shared" si="217"/>
        <v>440000</v>
      </c>
      <c r="X493" s="99">
        <f t="shared" si="217"/>
        <v>440000</v>
      </c>
      <c r="Y493" s="99">
        <f t="shared" si="217"/>
        <v>0</v>
      </c>
      <c r="Z493" s="99">
        <f>Z494</f>
        <v>440000</v>
      </c>
    </row>
    <row r="494" spans="2:26" ht="25.5" x14ac:dyDescent="0.2">
      <c r="B494" s="250" t="s">
        <v>42</v>
      </c>
      <c r="C494" s="16" t="s">
        <v>7</v>
      </c>
      <c r="D494" s="16" t="s">
        <v>83</v>
      </c>
      <c r="E494" s="16" t="s">
        <v>83</v>
      </c>
      <c r="F494" s="16" t="s">
        <v>83</v>
      </c>
      <c r="G494" s="16" t="s">
        <v>8</v>
      </c>
      <c r="H494" s="11" t="s">
        <v>83</v>
      </c>
      <c r="I494" s="102">
        <v>200</v>
      </c>
      <c r="J494" s="40">
        <f t="shared" si="217"/>
        <v>240000</v>
      </c>
      <c r="K494" s="97">
        <f t="shared" si="217"/>
        <v>0</v>
      </c>
      <c r="L494" s="98">
        <f t="shared" si="217"/>
        <v>0</v>
      </c>
      <c r="M494" s="98">
        <f t="shared" si="217"/>
        <v>0</v>
      </c>
      <c r="N494" s="98">
        <f t="shared" si="217"/>
        <v>0</v>
      </c>
      <c r="O494" s="98">
        <f t="shared" si="217"/>
        <v>440000</v>
      </c>
      <c r="P494" s="98">
        <f t="shared" si="217"/>
        <v>0</v>
      </c>
      <c r="Q494" s="98">
        <f t="shared" si="217"/>
        <v>0</v>
      </c>
      <c r="R494" s="98">
        <f t="shared" si="217"/>
        <v>0</v>
      </c>
      <c r="S494" s="98">
        <f t="shared" si="217"/>
        <v>440000</v>
      </c>
      <c r="T494" s="99">
        <f t="shared" si="217"/>
        <v>440000</v>
      </c>
      <c r="U494" s="99">
        <f t="shared" si="217"/>
        <v>0</v>
      </c>
      <c r="V494" s="98">
        <f t="shared" si="217"/>
        <v>0</v>
      </c>
      <c r="W494" s="98">
        <f t="shared" si="217"/>
        <v>440000</v>
      </c>
      <c r="X494" s="99">
        <f t="shared" si="217"/>
        <v>440000</v>
      </c>
      <c r="Y494" s="99">
        <f>Y495</f>
        <v>0</v>
      </c>
      <c r="Z494" s="99">
        <f>Z495</f>
        <v>440000</v>
      </c>
    </row>
    <row r="495" spans="2:26" ht="25.5" x14ac:dyDescent="0.2">
      <c r="B495" s="250" t="s">
        <v>44</v>
      </c>
      <c r="C495" s="16" t="s">
        <v>7</v>
      </c>
      <c r="D495" s="16" t="s">
        <v>83</v>
      </c>
      <c r="E495" s="16" t="s">
        <v>83</v>
      </c>
      <c r="F495" s="16" t="s">
        <v>83</v>
      </c>
      <c r="G495" s="16" t="s">
        <v>8</v>
      </c>
      <c r="H495" s="11" t="s">
        <v>83</v>
      </c>
      <c r="I495" s="102">
        <v>240</v>
      </c>
      <c r="J495" s="40">
        <f>120000+120000</f>
        <v>240000</v>
      </c>
      <c r="K495" s="97">
        <v>0</v>
      </c>
      <c r="L495" s="98">
        <v>0</v>
      </c>
      <c r="M495" s="98">
        <v>0</v>
      </c>
      <c r="N495" s="98">
        <v>0</v>
      </c>
      <c r="O495" s="98">
        <v>440000</v>
      </c>
      <c r="P495" s="98">
        <v>0</v>
      </c>
      <c r="Q495" s="98">
        <v>0</v>
      </c>
      <c r="R495" s="98">
        <v>0</v>
      </c>
      <c r="S495" s="98">
        <v>440000</v>
      </c>
      <c r="T495" s="99">
        <v>440000</v>
      </c>
      <c r="U495" s="99">
        <v>0</v>
      </c>
      <c r="V495" s="98">
        <v>0</v>
      </c>
      <c r="W495" s="98">
        <v>440000</v>
      </c>
      <c r="X495" s="99">
        <v>440000</v>
      </c>
      <c r="Y495" s="99">
        <v>0</v>
      </c>
      <c r="Z495" s="99">
        <v>440000</v>
      </c>
    </row>
    <row r="496" spans="2:26" ht="25.5" x14ac:dyDescent="0.2">
      <c r="B496" s="251" t="s">
        <v>138</v>
      </c>
      <c r="C496" s="10" t="s">
        <v>7</v>
      </c>
      <c r="D496" s="10" t="s">
        <v>83</v>
      </c>
      <c r="E496" s="10" t="s">
        <v>83</v>
      </c>
      <c r="F496" s="10" t="s">
        <v>83</v>
      </c>
      <c r="G496" s="10" t="s">
        <v>137</v>
      </c>
      <c r="H496" s="11" t="s">
        <v>83</v>
      </c>
      <c r="I496" s="198"/>
      <c r="J496" s="12">
        <f t="shared" ref="J496:Z497" si="218">J497</f>
        <v>180000</v>
      </c>
      <c r="K496" s="13">
        <f t="shared" si="218"/>
        <v>0</v>
      </c>
      <c r="L496" s="104">
        <f t="shared" si="218"/>
        <v>0</v>
      </c>
      <c r="M496" s="104">
        <f t="shared" si="218"/>
        <v>0</v>
      </c>
      <c r="N496" s="104">
        <f>N497+N499</f>
        <v>0</v>
      </c>
      <c r="O496" s="104">
        <f t="shared" ref="O496:Z496" si="219">O497+O499</f>
        <v>0</v>
      </c>
      <c r="P496" s="104">
        <f t="shared" si="219"/>
        <v>0</v>
      </c>
      <c r="Q496" s="104">
        <f t="shared" si="219"/>
        <v>193972.76</v>
      </c>
      <c r="R496" s="104">
        <f t="shared" si="219"/>
        <v>193972.76</v>
      </c>
      <c r="S496" s="104">
        <f t="shared" si="219"/>
        <v>0</v>
      </c>
      <c r="T496" s="104">
        <f t="shared" si="219"/>
        <v>0</v>
      </c>
      <c r="U496" s="104">
        <f t="shared" si="219"/>
        <v>0</v>
      </c>
      <c r="V496" s="104">
        <f t="shared" si="219"/>
        <v>0</v>
      </c>
      <c r="W496" s="104">
        <f t="shared" si="219"/>
        <v>0</v>
      </c>
      <c r="X496" s="104">
        <f t="shared" si="219"/>
        <v>0</v>
      </c>
      <c r="Y496" s="104">
        <f t="shared" si="219"/>
        <v>0</v>
      </c>
      <c r="Z496" s="104">
        <f t="shared" si="219"/>
        <v>0</v>
      </c>
    </row>
    <row r="497" spans="2:26" ht="25.5" x14ac:dyDescent="0.2">
      <c r="B497" s="250" t="s">
        <v>42</v>
      </c>
      <c r="C497" s="10" t="s">
        <v>7</v>
      </c>
      <c r="D497" s="10" t="s">
        <v>83</v>
      </c>
      <c r="E497" s="10" t="s">
        <v>83</v>
      </c>
      <c r="F497" s="10" t="s">
        <v>83</v>
      </c>
      <c r="G497" s="10" t="s">
        <v>137</v>
      </c>
      <c r="H497" s="11" t="s">
        <v>83</v>
      </c>
      <c r="I497" s="198">
        <v>200</v>
      </c>
      <c r="J497" s="12">
        <f t="shared" si="218"/>
        <v>180000</v>
      </c>
      <c r="K497" s="13">
        <f t="shared" si="218"/>
        <v>0</v>
      </c>
      <c r="L497" s="104">
        <f t="shared" si="218"/>
        <v>0</v>
      </c>
      <c r="M497" s="104">
        <f t="shared" si="218"/>
        <v>0</v>
      </c>
      <c r="N497" s="104">
        <f t="shared" si="218"/>
        <v>0</v>
      </c>
      <c r="O497" s="104">
        <f t="shared" si="218"/>
        <v>0</v>
      </c>
      <c r="P497" s="104">
        <f t="shared" si="218"/>
        <v>0</v>
      </c>
      <c r="Q497" s="104">
        <f t="shared" si="218"/>
        <v>11609.46</v>
      </c>
      <c r="R497" s="104">
        <f t="shared" si="218"/>
        <v>11609.46</v>
      </c>
      <c r="S497" s="104">
        <f t="shared" si="218"/>
        <v>0</v>
      </c>
      <c r="T497" s="104">
        <f t="shared" si="218"/>
        <v>0</v>
      </c>
      <c r="U497" s="104">
        <f t="shared" si="218"/>
        <v>0</v>
      </c>
      <c r="V497" s="104">
        <f t="shared" si="218"/>
        <v>0</v>
      </c>
      <c r="W497" s="104">
        <f t="shared" si="218"/>
        <v>0</v>
      </c>
      <c r="X497" s="104">
        <f t="shared" si="218"/>
        <v>0</v>
      </c>
      <c r="Y497" s="104">
        <f t="shared" si="218"/>
        <v>0</v>
      </c>
      <c r="Z497" s="104">
        <f t="shared" si="218"/>
        <v>0</v>
      </c>
    </row>
    <row r="498" spans="2:26" ht="25.5" x14ac:dyDescent="0.2">
      <c r="B498" s="250" t="s">
        <v>44</v>
      </c>
      <c r="C498" s="10" t="s">
        <v>7</v>
      </c>
      <c r="D498" s="10" t="s">
        <v>83</v>
      </c>
      <c r="E498" s="10" t="s">
        <v>83</v>
      </c>
      <c r="F498" s="10" t="s">
        <v>83</v>
      </c>
      <c r="G498" s="10" t="s">
        <v>137</v>
      </c>
      <c r="H498" s="11" t="s">
        <v>83</v>
      </c>
      <c r="I498" s="198">
        <v>240</v>
      </c>
      <c r="J498" s="12">
        <v>180000</v>
      </c>
      <c r="K498" s="13">
        <v>0</v>
      </c>
      <c r="L498" s="104">
        <v>0</v>
      </c>
      <c r="M498" s="104">
        <v>0</v>
      </c>
      <c r="N498" s="104">
        <v>0</v>
      </c>
      <c r="O498" s="104">
        <v>0</v>
      </c>
      <c r="P498" s="104">
        <v>0</v>
      </c>
      <c r="Q498" s="104">
        <f>11609.46</f>
        <v>11609.46</v>
      </c>
      <c r="R498" s="104">
        <f>Q498</f>
        <v>11609.46</v>
      </c>
      <c r="S498" s="104">
        <v>0</v>
      </c>
      <c r="T498" s="104">
        <v>0</v>
      </c>
      <c r="U498" s="104">
        <v>0</v>
      </c>
      <c r="V498" s="104">
        <v>0</v>
      </c>
      <c r="W498" s="104">
        <v>0</v>
      </c>
      <c r="X498" s="104">
        <v>0</v>
      </c>
      <c r="Y498" s="104">
        <v>0</v>
      </c>
      <c r="Z498" s="104">
        <v>0</v>
      </c>
    </row>
    <row r="499" spans="2:26" x14ac:dyDescent="0.2">
      <c r="B499" s="250" t="s">
        <v>52</v>
      </c>
      <c r="C499" s="10" t="s">
        <v>7</v>
      </c>
      <c r="D499" s="10" t="s">
        <v>83</v>
      </c>
      <c r="E499" s="10" t="s">
        <v>83</v>
      </c>
      <c r="F499" s="10" t="s">
        <v>83</v>
      </c>
      <c r="G499" s="10" t="s">
        <v>137</v>
      </c>
      <c r="H499" s="11" t="s">
        <v>83</v>
      </c>
      <c r="I499" s="198" t="s">
        <v>53</v>
      </c>
      <c r="J499" s="12"/>
      <c r="K499" s="13"/>
      <c r="L499" s="104"/>
      <c r="M499" s="104"/>
      <c r="N499" s="104">
        <f>N500</f>
        <v>0</v>
      </c>
      <c r="O499" s="104">
        <f t="shared" ref="O499:Z499" si="220">O500</f>
        <v>0</v>
      </c>
      <c r="P499" s="104">
        <f t="shared" si="220"/>
        <v>0</v>
      </c>
      <c r="Q499" s="104">
        <f t="shared" si="220"/>
        <v>182363.30000000002</v>
      </c>
      <c r="R499" s="104">
        <f t="shared" si="220"/>
        <v>182363.30000000002</v>
      </c>
      <c r="S499" s="104">
        <f t="shared" si="220"/>
        <v>0</v>
      </c>
      <c r="T499" s="104">
        <f t="shared" si="220"/>
        <v>0</v>
      </c>
      <c r="U499" s="104">
        <f t="shared" si="220"/>
        <v>0</v>
      </c>
      <c r="V499" s="104">
        <f t="shared" si="220"/>
        <v>0</v>
      </c>
      <c r="W499" s="104">
        <f t="shared" si="220"/>
        <v>0</v>
      </c>
      <c r="X499" s="104">
        <f t="shared" si="220"/>
        <v>0</v>
      </c>
      <c r="Y499" s="104">
        <f t="shared" si="220"/>
        <v>0</v>
      </c>
      <c r="Z499" s="104">
        <f t="shared" si="220"/>
        <v>0</v>
      </c>
    </row>
    <row r="500" spans="2:26" x14ac:dyDescent="0.2">
      <c r="B500" s="250" t="s">
        <v>118</v>
      </c>
      <c r="C500" s="10" t="s">
        <v>7</v>
      </c>
      <c r="D500" s="10" t="s">
        <v>83</v>
      </c>
      <c r="E500" s="10" t="s">
        <v>83</v>
      </c>
      <c r="F500" s="10" t="s">
        <v>83</v>
      </c>
      <c r="G500" s="10" t="s">
        <v>137</v>
      </c>
      <c r="H500" s="11" t="s">
        <v>83</v>
      </c>
      <c r="I500" s="198" t="s">
        <v>117</v>
      </c>
      <c r="J500" s="12"/>
      <c r="K500" s="13"/>
      <c r="L500" s="104"/>
      <c r="M500" s="104"/>
      <c r="N500" s="104">
        <v>0</v>
      </c>
      <c r="O500" s="104">
        <v>0</v>
      </c>
      <c r="P500" s="104">
        <v>0</v>
      </c>
      <c r="Q500" s="104">
        <f>4372.91+177990.39</f>
        <v>182363.30000000002</v>
      </c>
      <c r="R500" s="104">
        <f>Q500</f>
        <v>182363.30000000002</v>
      </c>
      <c r="S500" s="104">
        <v>0</v>
      </c>
      <c r="T500" s="104">
        <v>0</v>
      </c>
      <c r="U500" s="104">
        <v>0</v>
      </c>
      <c r="V500" s="104">
        <v>0</v>
      </c>
      <c r="W500" s="104">
        <v>0</v>
      </c>
      <c r="X500" s="104">
        <v>0</v>
      </c>
      <c r="Y500" s="104">
        <v>0</v>
      </c>
      <c r="Z500" s="104">
        <v>0</v>
      </c>
    </row>
    <row r="501" spans="2:26" x14ac:dyDescent="0.2">
      <c r="B501" s="251" t="s">
        <v>310</v>
      </c>
      <c r="C501" s="10" t="s">
        <v>7</v>
      </c>
      <c r="D501" s="10" t="s">
        <v>83</v>
      </c>
      <c r="E501" s="10" t="s">
        <v>83</v>
      </c>
      <c r="F501" s="10" t="s">
        <v>83</v>
      </c>
      <c r="G501" s="10" t="s">
        <v>309</v>
      </c>
      <c r="H501" s="11" t="s">
        <v>83</v>
      </c>
      <c r="I501" s="198"/>
      <c r="J501" s="12"/>
      <c r="K501" s="13"/>
      <c r="L501" s="104"/>
      <c r="M501" s="104"/>
      <c r="N501" s="104">
        <f>N502</f>
        <v>0</v>
      </c>
      <c r="O501" s="104">
        <f t="shared" ref="O501:Q501" si="221">O502+O504</f>
        <v>0</v>
      </c>
      <c r="P501" s="104">
        <f t="shared" si="221"/>
        <v>0</v>
      </c>
      <c r="Q501" s="104">
        <f t="shared" si="221"/>
        <v>581100.64</v>
      </c>
      <c r="R501" s="104">
        <f>R502</f>
        <v>581100.64</v>
      </c>
      <c r="S501" s="104">
        <v>0</v>
      </c>
      <c r="T501" s="104">
        <f t="shared" ref="T501:V501" si="222">T502+T504</f>
        <v>0</v>
      </c>
      <c r="U501" s="104">
        <f t="shared" si="222"/>
        <v>0</v>
      </c>
      <c r="V501" s="104">
        <f t="shared" si="222"/>
        <v>0</v>
      </c>
      <c r="W501" s="104">
        <v>0</v>
      </c>
      <c r="X501" s="104">
        <v>0</v>
      </c>
      <c r="Y501" s="104">
        <f t="shared" ref="Y501" si="223">Y502+Y504</f>
        <v>0</v>
      </c>
      <c r="Z501" s="104">
        <v>0</v>
      </c>
    </row>
    <row r="502" spans="2:26" ht="25.5" x14ac:dyDescent="0.2">
      <c r="B502" s="250" t="s">
        <v>42</v>
      </c>
      <c r="C502" s="10" t="s">
        <v>7</v>
      </c>
      <c r="D502" s="10" t="s">
        <v>83</v>
      </c>
      <c r="E502" s="10" t="s">
        <v>83</v>
      </c>
      <c r="F502" s="10" t="s">
        <v>83</v>
      </c>
      <c r="G502" s="10" t="s">
        <v>309</v>
      </c>
      <c r="H502" s="11" t="s">
        <v>83</v>
      </c>
      <c r="I502" s="198">
        <v>200</v>
      </c>
      <c r="J502" s="12"/>
      <c r="K502" s="13"/>
      <c r="L502" s="104"/>
      <c r="M502" s="104"/>
      <c r="N502" s="104">
        <f t="shared" ref="N502:Z502" si="224">N503</f>
        <v>0</v>
      </c>
      <c r="O502" s="104">
        <f t="shared" si="224"/>
        <v>0</v>
      </c>
      <c r="P502" s="104">
        <f t="shared" si="224"/>
        <v>0</v>
      </c>
      <c r="Q502" s="104">
        <f t="shared" si="224"/>
        <v>581100.64</v>
      </c>
      <c r="R502" s="104">
        <f t="shared" si="224"/>
        <v>581100.64</v>
      </c>
      <c r="S502" s="104">
        <f t="shared" si="224"/>
        <v>0</v>
      </c>
      <c r="T502" s="104">
        <f t="shared" si="224"/>
        <v>0</v>
      </c>
      <c r="U502" s="104">
        <f t="shared" si="224"/>
        <v>0</v>
      </c>
      <c r="V502" s="104">
        <f t="shared" si="224"/>
        <v>0</v>
      </c>
      <c r="W502" s="104">
        <f t="shared" si="224"/>
        <v>0</v>
      </c>
      <c r="X502" s="104">
        <f t="shared" si="224"/>
        <v>0</v>
      </c>
      <c r="Y502" s="104">
        <f t="shared" si="224"/>
        <v>0</v>
      </c>
      <c r="Z502" s="104">
        <f t="shared" si="224"/>
        <v>0</v>
      </c>
    </row>
    <row r="503" spans="2:26" ht="25.5" x14ac:dyDescent="0.2">
      <c r="B503" s="250" t="s">
        <v>44</v>
      </c>
      <c r="C503" s="10" t="s">
        <v>7</v>
      </c>
      <c r="D503" s="10" t="s">
        <v>83</v>
      </c>
      <c r="E503" s="10" t="s">
        <v>83</v>
      </c>
      <c r="F503" s="10" t="s">
        <v>83</v>
      </c>
      <c r="G503" s="10" t="s">
        <v>309</v>
      </c>
      <c r="H503" s="11" t="s">
        <v>83</v>
      </c>
      <c r="I503" s="198">
        <v>240</v>
      </c>
      <c r="J503" s="12"/>
      <c r="K503" s="13"/>
      <c r="L503" s="104"/>
      <c r="M503" s="104"/>
      <c r="N503" s="104">
        <v>0</v>
      </c>
      <c r="O503" s="104">
        <v>0</v>
      </c>
      <c r="P503" s="104">
        <v>0</v>
      </c>
      <c r="Q503" s="104">
        <v>581100.64</v>
      </c>
      <c r="R503" s="104">
        <f>Q503</f>
        <v>581100.64</v>
      </c>
      <c r="S503" s="104">
        <v>0</v>
      </c>
      <c r="T503" s="104">
        <v>0</v>
      </c>
      <c r="U503" s="104">
        <v>0</v>
      </c>
      <c r="V503" s="104">
        <v>0</v>
      </c>
      <c r="W503" s="104">
        <v>0</v>
      </c>
      <c r="X503" s="104">
        <v>0</v>
      </c>
      <c r="Y503" s="104">
        <v>0</v>
      </c>
      <c r="Z503" s="104">
        <v>0</v>
      </c>
    </row>
    <row r="504" spans="2:26" x14ac:dyDescent="0.2">
      <c r="B504" s="271"/>
      <c r="C504" s="49"/>
      <c r="D504" s="49"/>
      <c r="E504" s="49"/>
      <c r="F504" s="49"/>
      <c r="G504" s="49"/>
      <c r="H504" s="28"/>
      <c r="I504" s="196"/>
      <c r="J504" s="177"/>
      <c r="K504" s="153"/>
      <c r="L504" s="154"/>
      <c r="M504" s="154"/>
      <c r="N504" s="154"/>
      <c r="O504" s="154"/>
      <c r="P504" s="154"/>
      <c r="Q504" s="154"/>
      <c r="R504" s="154"/>
      <c r="S504" s="154"/>
      <c r="T504" s="155"/>
      <c r="U504" s="155"/>
      <c r="V504" s="154"/>
      <c r="W504" s="154"/>
      <c r="X504" s="155"/>
      <c r="Y504" s="155"/>
      <c r="Z504" s="155"/>
    </row>
    <row r="505" spans="2:26" ht="31.5" x14ac:dyDescent="0.2">
      <c r="B505" s="86" t="s">
        <v>278</v>
      </c>
      <c r="C505" s="128" t="s">
        <v>221</v>
      </c>
      <c r="D505" s="129" t="s">
        <v>83</v>
      </c>
      <c r="E505" s="129" t="s">
        <v>83</v>
      </c>
      <c r="F505" s="129" t="s">
        <v>83</v>
      </c>
      <c r="G505" s="129" t="s">
        <v>84</v>
      </c>
      <c r="H505" s="130" t="s">
        <v>83</v>
      </c>
      <c r="I505" s="208"/>
      <c r="J505" s="40"/>
      <c r="K505" s="97"/>
      <c r="L505" s="85">
        <f t="shared" ref="L505:Z505" si="225">L506</f>
        <v>2116326.36</v>
      </c>
      <c r="M505" s="85">
        <f t="shared" si="225"/>
        <v>75558.78</v>
      </c>
      <c r="N505" s="85">
        <f t="shared" si="225"/>
        <v>2191885.14</v>
      </c>
      <c r="O505" s="85">
        <f t="shared" si="225"/>
        <v>2197872.9300000002</v>
      </c>
      <c r="P505" s="85">
        <f t="shared" si="225"/>
        <v>194028.71999999997</v>
      </c>
      <c r="Q505" s="85">
        <f t="shared" si="225"/>
        <v>0</v>
      </c>
      <c r="R505" s="85">
        <f t="shared" si="225"/>
        <v>2191885.14</v>
      </c>
      <c r="S505" s="85">
        <f t="shared" si="225"/>
        <v>2391901.65</v>
      </c>
      <c r="T505" s="85">
        <f t="shared" si="225"/>
        <v>2291161.6799999997</v>
      </c>
      <c r="U505" s="85">
        <f t="shared" si="225"/>
        <v>303133.82999999996</v>
      </c>
      <c r="V505" s="85">
        <f t="shared" si="225"/>
        <v>0</v>
      </c>
      <c r="W505" s="85">
        <f t="shared" si="225"/>
        <v>2391901.65</v>
      </c>
      <c r="X505" s="85">
        <f t="shared" si="225"/>
        <v>2594295.5099999998</v>
      </c>
      <c r="Y505" s="85">
        <f t="shared" si="225"/>
        <v>0</v>
      </c>
      <c r="Z505" s="85">
        <f t="shared" si="225"/>
        <v>2594295.5100000002</v>
      </c>
    </row>
    <row r="506" spans="2:26" ht="51" x14ac:dyDescent="0.2">
      <c r="B506" s="100" t="s">
        <v>195</v>
      </c>
      <c r="C506" s="34" t="s">
        <v>221</v>
      </c>
      <c r="D506" s="10" t="s">
        <v>83</v>
      </c>
      <c r="E506" s="10" t="s">
        <v>83</v>
      </c>
      <c r="F506" s="10" t="s">
        <v>83</v>
      </c>
      <c r="G506" s="10" t="s">
        <v>194</v>
      </c>
      <c r="H506" s="11" t="s">
        <v>85</v>
      </c>
      <c r="I506" s="198"/>
      <c r="J506" s="40"/>
      <c r="K506" s="97"/>
      <c r="L506" s="98">
        <f t="shared" ref="L506:X506" si="226">L507+L509</f>
        <v>2116326.36</v>
      </c>
      <c r="M506" s="98">
        <f t="shared" si="226"/>
        <v>75558.78</v>
      </c>
      <c r="N506" s="98">
        <f t="shared" si="226"/>
        <v>2191885.14</v>
      </c>
      <c r="O506" s="98">
        <f t="shared" si="226"/>
        <v>2197872.9300000002</v>
      </c>
      <c r="P506" s="98">
        <f t="shared" si="226"/>
        <v>194028.71999999997</v>
      </c>
      <c r="Q506" s="98">
        <f>Q507+Q509</f>
        <v>0</v>
      </c>
      <c r="R506" s="98">
        <f>R507+R509</f>
        <v>2191885.14</v>
      </c>
      <c r="S506" s="98">
        <f t="shared" si="226"/>
        <v>2391901.65</v>
      </c>
      <c r="T506" s="98">
        <f t="shared" si="226"/>
        <v>2291161.6799999997</v>
      </c>
      <c r="U506" s="98">
        <f t="shared" si="226"/>
        <v>303133.82999999996</v>
      </c>
      <c r="V506" s="98">
        <f>V507+V509</f>
        <v>0</v>
      </c>
      <c r="W506" s="98">
        <f>W507+W509</f>
        <v>2391901.65</v>
      </c>
      <c r="X506" s="98">
        <f t="shared" si="226"/>
        <v>2594295.5099999998</v>
      </c>
      <c r="Y506" s="98">
        <f>Y507+Y509</f>
        <v>0</v>
      </c>
      <c r="Z506" s="98">
        <f>Z507+Z509</f>
        <v>2594295.5100000002</v>
      </c>
    </row>
    <row r="507" spans="2:26" ht="51" x14ac:dyDescent="0.2">
      <c r="B507" s="100" t="s">
        <v>57</v>
      </c>
      <c r="C507" s="34" t="s">
        <v>221</v>
      </c>
      <c r="D507" s="10" t="s">
        <v>83</v>
      </c>
      <c r="E507" s="10" t="s">
        <v>83</v>
      </c>
      <c r="F507" s="10" t="s">
        <v>83</v>
      </c>
      <c r="G507" s="10" t="s">
        <v>194</v>
      </c>
      <c r="H507" s="11" t="s">
        <v>85</v>
      </c>
      <c r="I507" s="198" t="s">
        <v>50</v>
      </c>
      <c r="J507" s="40"/>
      <c r="K507" s="97"/>
      <c r="L507" s="98">
        <f t="shared" ref="L507:Z507" si="227">L508</f>
        <v>1951079.46</v>
      </c>
      <c r="M507" s="98">
        <f t="shared" si="227"/>
        <v>59123.62</v>
      </c>
      <c r="N507" s="98">
        <f t="shared" si="227"/>
        <v>2010203.08</v>
      </c>
      <c r="O507" s="98">
        <f t="shared" si="227"/>
        <v>1951079.46</v>
      </c>
      <c r="P507" s="98">
        <f t="shared" si="227"/>
        <v>295618.09999999998</v>
      </c>
      <c r="Q507" s="98">
        <f t="shared" si="227"/>
        <v>0</v>
      </c>
      <c r="R507" s="98">
        <f t="shared" si="227"/>
        <v>2010203.08</v>
      </c>
      <c r="S507" s="98">
        <f t="shared" si="227"/>
        <v>2246697.56</v>
      </c>
      <c r="T507" s="98">
        <f t="shared" si="227"/>
        <v>1951079.46</v>
      </c>
      <c r="U507" s="98">
        <f t="shared" si="227"/>
        <v>295618.09999999998</v>
      </c>
      <c r="V507" s="98">
        <f t="shared" si="227"/>
        <v>0</v>
      </c>
      <c r="W507" s="98">
        <f t="shared" si="227"/>
        <v>2246697.56</v>
      </c>
      <c r="X507" s="98">
        <f t="shared" si="227"/>
        <v>2246697.56</v>
      </c>
      <c r="Y507" s="98">
        <f t="shared" si="227"/>
        <v>0</v>
      </c>
      <c r="Z507" s="98">
        <f t="shared" si="227"/>
        <v>2246697.56</v>
      </c>
    </row>
    <row r="508" spans="2:26" ht="25.5" x14ac:dyDescent="0.2">
      <c r="B508" s="100" t="s">
        <v>51</v>
      </c>
      <c r="C508" s="34" t="s">
        <v>221</v>
      </c>
      <c r="D508" s="10" t="s">
        <v>83</v>
      </c>
      <c r="E508" s="10" t="s">
        <v>83</v>
      </c>
      <c r="F508" s="10" t="s">
        <v>83</v>
      </c>
      <c r="G508" s="10" t="s">
        <v>194</v>
      </c>
      <c r="H508" s="11" t="s">
        <v>85</v>
      </c>
      <c r="I508" s="198" t="s">
        <v>115</v>
      </c>
      <c r="J508" s="40"/>
      <c r="K508" s="97"/>
      <c r="L508" s="98">
        <f>1951079.46</f>
        <v>1951079.46</v>
      </c>
      <c r="M508" s="98">
        <v>59123.62</v>
      </c>
      <c r="N508" s="98">
        <f>M508+L508</f>
        <v>2010203.08</v>
      </c>
      <c r="O508" s="98">
        <f>1951079.46</f>
        <v>1951079.46</v>
      </c>
      <c r="P508" s="98">
        <v>295618.09999999998</v>
      </c>
      <c r="Q508" s="98">
        <v>0</v>
      </c>
      <c r="R508" s="98">
        <v>2010203.08</v>
      </c>
      <c r="S508" s="98">
        <f>P508+O508</f>
        <v>2246697.56</v>
      </c>
      <c r="T508" s="98">
        <f>1951079.46</f>
        <v>1951079.46</v>
      </c>
      <c r="U508" s="98">
        <v>295618.09999999998</v>
      </c>
      <c r="V508" s="98">
        <v>0</v>
      </c>
      <c r="W508" s="98">
        <v>2246697.56</v>
      </c>
      <c r="X508" s="98">
        <f>U508+T508</f>
        <v>2246697.56</v>
      </c>
      <c r="Y508" s="98">
        <v>0</v>
      </c>
      <c r="Z508" s="98">
        <f>W508+V508</f>
        <v>2246697.56</v>
      </c>
    </row>
    <row r="509" spans="2:26" ht="25.5" x14ac:dyDescent="0.2">
      <c r="B509" s="100" t="s">
        <v>42</v>
      </c>
      <c r="C509" s="34" t="s">
        <v>221</v>
      </c>
      <c r="D509" s="10" t="s">
        <v>83</v>
      </c>
      <c r="E509" s="10" t="s">
        <v>83</v>
      </c>
      <c r="F509" s="10" t="s">
        <v>83</v>
      </c>
      <c r="G509" s="10" t="s">
        <v>194</v>
      </c>
      <c r="H509" s="11" t="s">
        <v>85</v>
      </c>
      <c r="I509" s="198" t="s">
        <v>43</v>
      </c>
      <c r="J509" s="40"/>
      <c r="K509" s="97"/>
      <c r="L509" s="98">
        <f t="shared" ref="L509:Z509" si="228">L510</f>
        <v>165246.9</v>
      </c>
      <c r="M509" s="98">
        <f t="shared" si="228"/>
        <v>16435.16</v>
      </c>
      <c r="N509" s="98">
        <f t="shared" si="228"/>
        <v>181682.06</v>
      </c>
      <c r="O509" s="98">
        <f t="shared" si="228"/>
        <v>246793.47</v>
      </c>
      <c r="P509" s="98">
        <f t="shared" si="228"/>
        <v>-101589.38</v>
      </c>
      <c r="Q509" s="98">
        <f t="shared" si="228"/>
        <v>0</v>
      </c>
      <c r="R509" s="98">
        <f t="shared" si="228"/>
        <v>181682.06</v>
      </c>
      <c r="S509" s="98">
        <f t="shared" si="228"/>
        <v>145204.09</v>
      </c>
      <c r="T509" s="98">
        <f t="shared" si="228"/>
        <v>340082.22</v>
      </c>
      <c r="U509" s="98">
        <f t="shared" si="228"/>
        <v>7515.73</v>
      </c>
      <c r="V509" s="98">
        <f t="shared" si="228"/>
        <v>0</v>
      </c>
      <c r="W509" s="98">
        <f t="shared" si="228"/>
        <v>145204.09</v>
      </c>
      <c r="X509" s="98">
        <f t="shared" si="228"/>
        <v>347597.94999999995</v>
      </c>
      <c r="Y509" s="98">
        <f t="shared" si="228"/>
        <v>0</v>
      </c>
      <c r="Z509" s="98">
        <f t="shared" si="228"/>
        <v>347597.95</v>
      </c>
    </row>
    <row r="510" spans="2:26" ht="25.5" x14ac:dyDescent="0.2">
      <c r="B510" s="100" t="s">
        <v>44</v>
      </c>
      <c r="C510" s="34" t="s">
        <v>221</v>
      </c>
      <c r="D510" s="10" t="s">
        <v>83</v>
      </c>
      <c r="E510" s="10" t="s">
        <v>83</v>
      </c>
      <c r="F510" s="10" t="s">
        <v>83</v>
      </c>
      <c r="G510" s="10" t="s">
        <v>194</v>
      </c>
      <c r="H510" s="11" t="s">
        <v>85</v>
      </c>
      <c r="I510" s="198" t="s">
        <v>45</v>
      </c>
      <c r="J510" s="40"/>
      <c r="K510" s="97"/>
      <c r="L510" s="98">
        <v>165246.9</v>
      </c>
      <c r="M510" s="98">
        <v>16435.16</v>
      </c>
      <c r="N510" s="98">
        <f>M510+L510</f>
        <v>181682.06</v>
      </c>
      <c r="O510" s="98">
        <v>246793.47</v>
      </c>
      <c r="P510" s="98">
        <v>-101589.38</v>
      </c>
      <c r="Q510" s="98">
        <v>0</v>
      </c>
      <c r="R510" s="98">
        <v>181682.06</v>
      </c>
      <c r="S510" s="98">
        <f>P510+O510</f>
        <v>145204.09</v>
      </c>
      <c r="T510" s="98">
        <v>340082.22</v>
      </c>
      <c r="U510" s="98">
        <v>7515.73</v>
      </c>
      <c r="V510" s="98">
        <v>0</v>
      </c>
      <c r="W510" s="98">
        <v>145204.09</v>
      </c>
      <c r="X510" s="98">
        <f>U510+T510</f>
        <v>347597.94999999995</v>
      </c>
      <c r="Y510" s="98">
        <v>0</v>
      </c>
      <c r="Z510" s="98">
        <v>347597.95</v>
      </c>
    </row>
    <row r="511" spans="2:26" x14ac:dyDescent="0.2">
      <c r="B511" s="100"/>
      <c r="C511" s="194"/>
      <c r="D511" s="49"/>
      <c r="E511" s="49"/>
      <c r="F511" s="49"/>
      <c r="G511" s="49"/>
      <c r="H511" s="28"/>
      <c r="I511" s="196"/>
      <c r="J511" s="40"/>
      <c r="K511" s="97"/>
      <c r="L511" s="98"/>
      <c r="M511" s="98"/>
      <c r="N511" s="98"/>
      <c r="O511" s="98"/>
      <c r="P511" s="98"/>
      <c r="Q511" s="98"/>
      <c r="R511" s="98"/>
      <c r="S511" s="98"/>
      <c r="T511" s="99"/>
      <c r="U511" s="99"/>
      <c r="V511" s="98"/>
      <c r="W511" s="98"/>
      <c r="X511" s="99"/>
      <c r="Y511" s="99"/>
      <c r="Z511" s="99"/>
    </row>
    <row r="512" spans="2:26" ht="16.5" customHeight="1" x14ac:dyDescent="0.2">
      <c r="B512" s="156"/>
      <c r="C512" s="206"/>
      <c r="D512" s="207"/>
      <c r="E512" s="207"/>
      <c r="F512" s="207"/>
      <c r="G512" s="207"/>
      <c r="H512" s="208"/>
      <c r="I512" s="131"/>
      <c r="J512" s="199"/>
      <c r="K512" s="200"/>
      <c r="L512" s="201"/>
      <c r="M512" s="201"/>
      <c r="N512" s="201"/>
      <c r="O512" s="201"/>
      <c r="P512" s="201"/>
      <c r="Q512" s="201"/>
      <c r="R512" s="201"/>
      <c r="S512" s="201"/>
      <c r="T512" s="202"/>
      <c r="U512" s="202"/>
      <c r="V512" s="201"/>
      <c r="W512" s="201"/>
      <c r="X512" s="202"/>
      <c r="Y512" s="202"/>
      <c r="Z512" s="202"/>
    </row>
    <row r="513" spans="2:26" ht="47.25" x14ac:dyDescent="0.2">
      <c r="B513" s="86" t="s">
        <v>33</v>
      </c>
      <c r="C513" s="191" t="s">
        <v>25</v>
      </c>
      <c r="D513" s="115" t="s">
        <v>83</v>
      </c>
      <c r="E513" s="115" t="s">
        <v>83</v>
      </c>
      <c r="F513" s="115" t="s">
        <v>83</v>
      </c>
      <c r="G513" s="115" t="s">
        <v>84</v>
      </c>
      <c r="H513" s="116" t="s">
        <v>83</v>
      </c>
      <c r="I513" s="192"/>
      <c r="J513" s="83">
        <f t="shared" ref="J513:Z513" si="229">J514</f>
        <v>1000000</v>
      </c>
      <c r="K513" s="84">
        <f t="shared" si="229"/>
        <v>0</v>
      </c>
      <c r="L513" s="85">
        <f t="shared" si="229"/>
        <v>1330887.8899999999</v>
      </c>
      <c r="M513" s="85">
        <f t="shared" si="229"/>
        <v>-1000000</v>
      </c>
      <c r="N513" s="85">
        <f t="shared" si="229"/>
        <v>330887.8899999999</v>
      </c>
      <c r="O513" s="85">
        <f t="shared" si="229"/>
        <v>200000</v>
      </c>
      <c r="P513" s="85">
        <f t="shared" si="229"/>
        <v>0</v>
      </c>
      <c r="Q513" s="85">
        <f t="shared" si="229"/>
        <v>0</v>
      </c>
      <c r="R513" s="85">
        <f t="shared" si="229"/>
        <v>330887.89</v>
      </c>
      <c r="S513" s="85">
        <f t="shared" si="229"/>
        <v>200000</v>
      </c>
      <c r="T513" s="85">
        <f t="shared" si="229"/>
        <v>200000</v>
      </c>
      <c r="U513" s="85">
        <f t="shared" si="229"/>
        <v>0</v>
      </c>
      <c r="V513" s="85">
        <f t="shared" si="229"/>
        <v>0</v>
      </c>
      <c r="W513" s="85">
        <f t="shared" si="229"/>
        <v>200000</v>
      </c>
      <c r="X513" s="85">
        <f t="shared" si="229"/>
        <v>200000</v>
      </c>
      <c r="Y513" s="85">
        <f t="shared" si="229"/>
        <v>0</v>
      </c>
      <c r="Z513" s="85">
        <f t="shared" si="229"/>
        <v>200000</v>
      </c>
    </row>
    <row r="514" spans="2:26" ht="38.25" x14ac:dyDescent="0.2">
      <c r="B514" s="100" t="s">
        <v>248</v>
      </c>
      <c r="C514" s="39" t="s">
        <v>25</v>
      </c>
      <c r="D514" s="16" t="s">
        <v>83</v>
      </c>
      <c r="E514" s="16" t="s">
        <v>83</v>
      </c>
      <c r="F514" s="16" t="s">
        <v>83</v>
      </c>
      <c r="G514" s="16" t="s">
        <v>17</v>
      </c>
      <c r="H514" s="11" t="s">
        <v>83</v>
      </c>
      <c r="I514" s="102"/>
      <c r="J514" s="40">
        <f t="shared" ref="J514:X514" si="230">J517+J515</f>
        <v>1000000</v>
      </c>
      <c r="K514" s="97">
        <f t="shared" si="230"/>
        <v>0</v>
      </c>
      <c r="L514" s="98">
        <f t="shared" si="230"/>
        <v>1330887.8899999999</v>
      </c>
      <c r="M514" s="98">
        <f t="shared" si="230"/>
        <v>-1000000</v>
      </c>
      <c r="N514" s="98">
        <f t="shared" si="230"/>
        <v>330887.8899999999</v>
      </c>
      <c r="O514" s="98">
        <f t="shared" si="230"/>
        <v>200000</v>
      </c>
      <c r="P514" s="98">
        <f t="shared" si="230"/>
        <v>0</v>
      </c>
      <c r="Q514" s="98">
        <f>Q517+Q515</f>
        <v>0</v>
      </c>
      <c r="R514" s="98">
        <f>R517+R515</f>
        <v>330887.89</v>
      </c>
      <c r="S514" s="98">
        <f t="shared" si="230"/>
        <v>200000</v>
      </c>
      <c r="T514" s="99">
        <f t="shared" si="230"/>
        <v>200000</v>
      </c>
      <c r="U514" s="99">
        <f t="shared" si="230"/>
        <v>0</v>
      </c>
      <c r="V514" s="98">
        <f>V517+V515</f>
        <v>0</v>
      </c>
      <c r="W514" s="98">
        <f>W517+W515</f>
        <v>200000</v>
      </c>
      <c r="X514" s="99">
        <f t="shared" si="230"/>
        <v>200000</v>
      </c>
      <c r="Y514" s="99">
        <f>Y517+Y515</f>
        <v>0</v>
      </c>
      <c r="Z514" s="99">
        <f>Z517+Z515</f>
        <v>200000</v>
      </c>
    </row>
    <row r="515" spans="2:26" ht="25.5" hidden="1" x14ac:dyDescent="0.2">
      <c r="B515" s="100" t="s">
        <v>42</v>
      </c>
      <c r="C515" s="39" t="s">
        <v>25</v>
      </c>
      <c r="D515" s="16" t="s">
        <v>83</v>
      </c>
      <c r="E515" s="16" t="s">
        <v>83</v>
      </c>
      <c r="F515" s="16" t="s">
        <v>83</v>
      </c>
      <c r="G515" s="16" t="s">
        <v>17</v>
      </c>
      <c r="H515" s="11" t="s">
        <v>83</v>
      </c>
      <c r="I515" s="102" t="s">
        <v>43</v>
      </c>
      <c r="J515" s="40">
        <f t="shared" ref="J515:Z515" si="231">J516</f>
        <v>0</v>
      </c>
      <c r="K515" s="97">
        <f t="shared" si="231"/>
        <v>0</v>
      </c>
      <c r="L515" s="98">
        <f t="shared" si="231"/>
        <v>0</v>
      </c>
      <c r="M515" s="98">
        <f t="shared" si="231"/>
        <v>0</v>
      </c>
      <c r="N515" s="98">
        <f t="shared" si="231"/>
        <v>0</v>
      </c>
      <c r="O515" s="98">
        <f t="shared" si="231"/>
        <v>0</v>
      </c>
      <c r="P515" s="98">
        <f t="shared" si="231"/>
        <v>0</v>
      </c>
      <c r="Q515" s="98">
        <f t="shared" si="231"/>
        <v>0</v>
      </c>
      <c r="R515" s="98">
        <f t="shared" si="231"/>
        <v>0</v>
      </c>
      <c r="S515" s="98">
        <f t="shared" si="231"/>
        <v>0</v>
      </c>
      <c r="T515" s="99">
        <f t="shared" si="231"/>
        <v>0</v>
      </c>
      <c r="U515" s="99">
        <f t="shared" si="231"/>
        <v>0</v>
      </c>
      <c r="V515" s="98">
        <f t="shared" si="231"/>
        <v>0</v>
      </c>
      <c r="W515" s="98">
        <f t="shared" si="231"/>
        <v>0</v>
      </c>
      <c r="X515" s="99">
        <f t="shared" si="231"/>
        <v>0</v>
      </c>
      <c r="Y515" s="99">
        <f t="shared" si="231"/>
        <v>0</v>
      </c>
      <c r="Z515" s="99">
        <f t="shared" si="231"/>
        <v>0</v>
      </c>
    </row>
    <row r="516" spans="2:26" ht="25.5" hidden="1" x14ac:dyDescent="0.2">
      <c r="B516" s="100" t="s">
        <v>44</v>
      </c>
      <c r="C516" s="39" t="s">
        <v>25</v>
      </c>
      <c r="D516" s="16" t="s">
        <v>83</v>
      </c>
      <c r="E516" s="16" t="s">
        <v>83</v>
      </c>
      <c r="F516" s="16" t="s">
        <v>83</v>
      </c>
      <c r="G516" s="16" t="s">
        <v>17</v>
      </c>
      <c r="H516" s="11" t="s">
        <v>83</v>
      </c>
      <c r="I516" s="102" t="s">
        <v>45</v>
      </c>
      <c r="J516" s="40">
        <v>0</v>
      </c>
      <c r="K516" s="97">
        <v>0</v>
      </c>
      <c r="L516" s="98">
        <v>0</v>
      </c>
      <c r="M516" s="98">
        <v>0</v>
      </c>
      <c r="N516" s="98">
        <v>0</v>
      </c>
      <c r="O516" s="98">
        <v>0</v>
      </c>
      <c r="P516" s="98">
        <v>0</v>
      </c>
      <c r="Q516" s="98">
        <v>0</v>
      </c>
      <c r="R516" s="98">
        <v>0</v>
      </c>
      <c r="S516" s="98">
        <v>0</v>
      </c>
      <c r="T516" s="99">
        <v>0</v>
      </c>
      <c r="U516" s="99">
        <v>0</v>
      </c>
      <c r="V516" s="98">
        <v>0</v>
      </c>
      <c r="W516" s="98">
        <v>0</v>
      </c>
      <c r="X516" s="99">
        <v>0</v>
      </c>
      <c r="Y516" s="99">
        <v>0</v>
      </c>
      <c r="Z516" s="99">
        <v>0</v>
      </c>
    </row>
    <row r="517" spans="2:26" x14ac:dyDescent="0.2">
      <c r="B517" s="100" t="s">
        <v>52</v>
      </c>
      <c r="C517" s="39" t="s">
        <v>25</v>
      </c>
      <c r="D517" s="16" t="s">
        <v>83</v>
      </c>
      <c r="E517" s="16" t="s">
        <v>83</v>
      </c>
      <c r="F517" s="16" t="s">
        <v>83</v>
      </c>
      <c r="G517" s="16" t="s">
        <v>17</v>
      </c>
      <c r="H517" s="11" t="s">
        <v>83</v>
      </c>
      <c r="I517" s="102" t="s">
        <v>53</v>
      </c>
      <c r="J517" s="40">
        <f t="shared" ref="J517:Z517" si="232">J518</f>
        <v>1000000</v>
      </c>
      <c r="K517" s="97">
        <f t="shared" si="232"/>
        <v>0</v>
      </c>
      <c r="L517" s="98">
        <f t="shared" si="232"/>
        <v>1330887.8899999999</v>
      </c>
      <c r="M517" s="98">
        <f t="shared" si="232"/>
        <v>-1000000</v>
      </c>
      <c r="N517" s="98">
        <f t="shared" si="232"/>
        <v>330887.8899999999</v>
      </c>
      <c r="O517" s="98">
        <f t="shared" si="232"/>
        <v>200000</v>
      </c>
      <c r="P517" s="98">
        <f t="shared" si="232"/>
        <v>0</v>
      </c>
      <c r="Q517" s="98">
        <f t="shared" si="232"/>
        <v>0</v>
      </c>
      <c r="R517" s="98">
        <f t="shared" si="232"/>
        <v>330887.89</v>
      </c>
      <c r="S517" s="98">
        <f t="shared" si="232"/>
        <v>200000</v>
      </c>
      <c r="T517" s="99">
        <f t="shared" si="232"/>
        <v>200000</v>
      </c>
      <c r="U517" s="99">
        <f t="shared" si="232"/>
        <v>0</v>
      </c>
      <c r="V517" s="98">
        <f t="shared" si="232"/>
        <v>0</v>
      </c>
      <c r="W517" s="98">
        <f t="shared" si="232"/>
        <v>200000</v>
      </c>
      <c r="X517" s="99">
        <f t="shared" si="232"/>
        <v>200000</v>
      </c>
      <c r="Y517" s="99">
        <f t="shared" si="232"/>
        <v>0</v>
      </c>
      <c r="Z517" s="99">
        <f t="shared" si="232"/>
        <v>200000</v>
      </c>
    </row>
    <row r="518" spans="2:26" x14ac:dyDescent="0.2">
      <c r="B518" s="100" t="s">
        <v>40</v>
      </c>
      <c r="C518" s="39" t="s">
        <v>25</v>
      </c>
      <c r="D518" s="16" t="s">
        <v>83</v>
      </c>
      <c r="E518" s="16" t="s">
        <v>83</v>
      </c>
      <c r="F518" s="16" t="s">
        <v>83</v>
      </c>
      <c r="G518" s="16" t="s">
        <v>17</v>
      </c>
      <c r="H518" s="11" t="s">
        <v>83</v>
      </c>
      <c r="I518" s="102" t="s">
        <v>134</v>
      </c>
      <c r="J518" s="40">
        <v>1000000</v>
      </c>
      <c r="K518" s="97">
        <v>0</v>
      </c>
      <c r="L518" s="104">
        <v>1330887.8899999999</v>
      </c>
      <c r="M518" s="104">
        <v>-1000000</v>
      </c>
      <c r="N518" s="104">
        <f>M518+L518</f>
        <v>330887.8899999999</v>
      </c>
      <c r="O518" s="104">
        <v>200000</v>
      </c>
      <c r="P518" s="104">
        <v>0</v>
      </c>
      <c r="Q518" s="104">
        <v>0</v>
      </c>
      <c r="R518" s="104">
        <v>330887.89</v>
      </c>
      <c r="S518" s="104">
        <v>200000</v>
      </c>
      <c r="T518" s="104">
        <v>200000</v>
      </c>
      <c r="U518" s="104">
        <v>0</v>
      </c>
      <c r="V518" s="104">
        <v>0</v>
      </c>
      <c r="W518" s="104">
        <v>200000</v>
      </c>
      <c r="X518" s="104">
        <v>200000</v>
      </c>
      <c r="Y518" s="104">
        <v>0</v>
      </c>
      <c r="Z518" s="104">
        <v>200000</v>
      </c>
    </row>
    <row r="519" spans="2:26" ht="21" hidden="1" customHeight="1" x14ac:dyDescent="0.2">
      <c r="B519" s="100"/>
      <c r="C519" s="39" t="s">
        <v>25</v>
      </c>
      <c r="D519" s="16" t="s">
        <v>83</v>
      </c>
      <c r="E519" s="16" t="s">
        <v>83</v>
      </c>
      <c r="F519" s="16" t="s">
        <v>83</v>
      </c>
      <c r="G519" s="21"/>
      <c r="H519" s="11" t="s">
        <v>83</v>
      </c>
      <c r="I519" s="149"/>
      <c r="J519" s="40"/>
      <c r="K519" s="97"/>
      <c r="L519" s="98"/>
      <c r="M519" s="98"/>
      <c r="N519" s="98"/>
      <c r="O519" s="98"/>
      <c r="P519" s="98"/>
      <c r="Q519" s="98"/>
      <c r="R519" s="98"/>
      <c r="S519" s="98"/>
      <c r="T519" s="99"/>
      <c r="U519" s="99"/>
      <c r="V519" s="98"/>
      <c r="W519" s="98"/>
      <c r="X519" s="99"/>
      <c r="Y519" s="99"/>
      <c r="Z519" s="99"/>
    </row>
    <row r="520" spans="2:26" ht="9.75" customHeight="1" x14ac:dyDescent="0.2">
      <c r="B520" s="169"/>
      <c r="C520" s="24"/>
      <c r="D520" s="25"/>
      <c r="E520" s="26"/>
      <c r="F520" s="26"/>
      <c r="G520" s="25"/>
      <c r="H520" s="28"/>
      <c r="I520" s="123"/>
      <c r="J520" s="177"/>
      <c r="K520" s="153"/>
      <c r="L520" s="154"/>
      <c r="M520" s="154"/>
      <c r="N520" s="154"/>
      <c r="O520" s="154"/>
      <c r="P520" s="154"/>
      <c r="Q520" s="154"/>
      <c r="R520" s="154"/>
      <c r="S520" s="154"/>
      <c r="T520" s="155"/>
      <c r="U520" s="155"/>
      <c r="V520" s="154"/>
      <c r="W520" s="154"/>
      <c r="X520" s="155"/>
      <c r="Y520" s="155"/>
      <c r="Z520" s="155"/>
    </row>
    <row r="521" spans="2:26" ht="5.25" customHeight="1" x14ac:dyDescent="0.2">
      <c r="B521" s="218"/>
      <c r="C521" s="236"/>
      <c r="D521" s="237"/>
      <c r="E521" s="31"/>
      <c r="F521" s="31"/>
      <c r="G521" s="237"/>
      <c r="H521" s="209"/>
      <c r="I521" s="238"/>
      <c r="J521" s="200"/>
      <c r="K521" s="200"/>
      <c r="L521" s="201"/>
      <c r="M521" s="201"/>
      <c r="N521" s="201"/>
      <c r="O521" s="201"/>
      <c r="P521" s="201"/>
      <c r="Q521" s="201"/>
      <c r="R521" s="201"/>
      <c r="S521" s="201"/>
      <c r="T521" s="202"/>
      <c r="U521" s="202"/>
      <c r="V521" s="201"/>
      <c r="W521" s="201"/>
      <c r="X521" s="202"/>
      <c r="Y521" s="202"/>
      <c r="Z521" s="202"/>
    </row>
    <row r="522" spans="2:26" ht="31.5" x14ac:dyDescent="0.2">
      <c r="B522" s="86" t="s">
        <v>19</v>
      </c>
      <c r="C522" s="191" t="s">
        <v>9</v>
      </c>
      <c r="D522" s="115" t="s">
        <v>83</v>
      </c>
      <c r="E522" s="115" t="s">
        <v>83</v>
      </c>
      <c r="F522" s="115" t="s">
        <v>83</v>
      </c>
      <c r="G522" s="115" t="s">
        <v>84</v>
      </c>
      <c r="H522" s="116" t="s">
        <v>83</v>
      </c>
      <c r="I522" s="221"/>
      <c r="J522" s="84" t="e">
        <f>J543+#REF!+#REF!+J532+J538+J529+J535</f>
        <v>#REF!</v>
      </c>
      <c r="K522" s="84" t="e">
        <f>K543+#REF!+#REF!+K532+K538+K529+K535</f>
        <v>#REF!</v>
      </c>
      <c r="L522" s="85">
        <f t="shared" ref="L522:X522" si="233">L543+L532+L538+L529+L535+L546+L526</f>
        <v>11262318.189999999</v>
      </c>
      <c r="M522" s="85">
        <f t="shared" si="233"/>
        <v>0</v>
      </c>
      <c r="N522" s="85">
        <f t="shared" si="233"/>
        <v>11262318.189999999</v>
      </c>
      <c r="O522" s="85">
        <f t="shared" si="233"/>
        <v>11263200.84</v>
      </c>
      <c r="P522" s="85">
        <f t="shared" si="233"/>
        <v>0</v>
      </c>
      <c r="Q522" s="85">
        <f>Q543+Q532+Q538+Q529+Q535+Q546+Q526</f>
        <v>935452.67</v>
      </c>
      <c r="R522" s="85">
        <f>R543+R532+R538+R529+R535+R546+R526</f>
        <v>12197770.859999999</v>
      </c>
      <c r="S522" s="85">
        <f t="shared" si="233"/>
        <v>11263200.84</v>
      </c>
      <c r="T522" s="85">
        <f t="shared" si="233"/>
        <v>11463113.18</v>
      </c>
      <c r="U522" s="85">
        <f t="shared" si="233"/>
        <v>0</v>
      </c>
      <c r="V522" s="85">
        <f>V543+V532+V538+V529+V535+V546+V526</f>
        <v>0</v>
      </c>
      <c r="W522" s="85">
        <f>W543+W532+W538+W529+W535+W546+W526</f>
        <v>11263200.84</v>
      </c>
      <c r="X522" s="85">
        <f t="shared" si="233"/>
        <v>11463113.18</v>
      </c>
      <c r="Y522" s="85">
        <f>Y543+Y532+Y538+Y529+Y535+Y546+Y526</f>
        <v>0</v>
      </c>
      <c r="Z522" s="85">
        <f>Z543+Z532+Z538+Z529+Z535+Z546+Z526</f>
        <v>11463113.18</v>
      </c>
    </row>
    <row r="523" spans="2:26" ht="38.25" hidden="1" x14ac:dyDescent="0.2">
      <c r="B523" s="100" t="s">
        <v>127</v>
      </c>
      <c r="C523" s="20" t="s">
        <v>9</v>
      </c>
      <c r="D523" s="21" t="s">
        <v>83</v>
      </c>
      <c r="E523" s="10" t="s">
        <v>83</v>
      </c>
      <c r="F523" s="10" t="s">
        <v>83</v>
      </c>
      <c r="G523" s="45">
        <v>5082</v>
      </c>
      <c r="H523" s="11" t="s">
        <v>83</v>
      </c>
      <c r="I523" s="180"/>
      <c r="J523" s="97" t="e">
        <f t="shared" ref="J523:Y524" si="234">J524</f>
        <v>#REF!</v>
      </c>
      <c r="K523" s="97" t="e">
        <f t="shared" si="234"/>
        <v>#REF!</v>
      </c>
      <c r="L523" s="98" t="e">
        <f t="shared" si="234"/>
        <v>#REF!</v>
      </c>
      <c r="M523" s="98" t="e">
        <f t="shared" si="234"/>
        <v>#REF!</v>
      </c>
      <c r="N523" s="98" t="e">
        <f t="shared" si="234"/>
        <v>#REF!</v>
      </c>
      <c r="O523" s="98" t="e">
        <f t="shared" si="234"/>
        <v>#REF!</v>
      </c>
      <c r="P523" s="98" t="e">
        <f t="shared" si="234"/>
        <v>#REF!</v>
      </c>
      <c r="Q523" s="98" t="e">
        <f t="shared" si="234"/>
        <v>#REF!</v>
      </c>
      <c r="R523" s="98" t="e">
        <f t="shared" si="234"/>
        <v>#REF!</v>
      </c>
      <c r="S523" s="98" t="e">
        <f t="shared" si="234"/>
        <v>#REF!</v>
      </c>
      <c r="T523" s="99" t="e">
        <f t="shared" si="234"/>
        <v>#REF!</v>
      </c>
      <c r="U523" s="99" t="e">
        <f t="shared" si="234"/>
        <v>#REF!</v>
      </c>
      <c r="V523" s="98" t="e">
        <f t="shared" si="234"/>
        <v>#REF!</v>
      </c>
      <c r="W523" s="98" t="e">
        <f t="shared" si="234"/>
        <v>#REF!</v>
      </c>
      <c r="X523" s="99" t="e">
        <f t="shared" si="234"/>
        <v>#REF!</v>
      </c>
      <c r="Y523" s="99" t="e">
        <f t="shared" si="234"/>
        <v>#REF!</v>
      </c>
      <c r="Z523" s="99" t="e">
        <f>Z524</f>
        <v>#REF!</v>
      </c>
    </row>
    <row r="524" spans="2:26" ht="25.5" hidden="1" x14ac:dyDescent="0.2">
      <c r="B524" s="95" t="s">
        <v>126</v>
      </c>
      <c r="C524" s="34" t="s">
        <v>9</v>
      </c>
      <c r="D524" s="21" t="s">
        <v>83</v>
      </c>
      <c r="E524" s="10" t="s">
        <v>83</v>
      </c>
      <c r="F524" s="10" t="s">
        <v>83</v>
      </c>
      <c r="G524" s="45">
        <v>5082</v>
      </c>
      <c r="H524" s="11" t="s">
        <v>83</v>
      </c>
      <c r="I524" s="180" t="s">
        <v>106</v>
      </c>
      <c r="J524" s="97" t="e">
        <f t="shared" si="234"/>
        <v>#REF!</v>
      </c>
      <c r="K524" s="97" t="e">
        <f t="shared" si="234"/>
        <v>#REF!</v>
      </c>
      <c r="L524" s="98" t="e">
        <f t="shared" si="234"/>
        <v>#REF!</v>
      </c>
      <c r="M524" s="98" t="e">
        <f t="shared" si="234"/>
        <v>#REF!</v>
      </c>
      <c r="N524" s="98" t="e">
        <f t="shared" si="234"/>
        <v>#REF!</v>
      </c>
      <c r="O524" s="98" t="e">
        <f t="shared" si="234"/>
        <v>#REF!</v>
      </c>
      <c r="P524" s="98" t="e">
        <f t="shared" si="234"/>
        <v>#REF!</v>
      </c>
      <c r="Q524" s="98" t="e">
        <f t="shared" si="234"/>
        <v>#REF!</v>
      </c>
      <c r="R524" s="98" t="e">
        <f t="shared" si="234"/>
        <v>#REF!</v>
      </c>
      <c r="S524" s="98" t="e">
        <f t="shared" si="234"/>
        <v>#REF!</v>
      </c>
      <c r="T524" s="99" t="e">
        <f t="shared" si="234"/>
        <v>#REF!</v>
      </c>
      <c r="U524" s="99" t="e">
        <f t="shared" si="234"/>
        <v>#REF!</v>
      </c>
      <c r="V524" s="98" t="e">
        <f t="shared" si="234"/>
        <v>#REF!</v>
      </c>
      <c r="W524" s="98" t="e">
        <f t="shared" si="234"/>
        <v>#REF!</v>
      </c>
      <c r="X524" s="99" t="e">
        <f t="shared" si="234"/>
        <v>#REF!</v>
      </c>
      <c r="Y524" s="99" t="e">
        <f>Y525</f>
        <v>#REF!</v>
      </c>
      <c r="Z524" s="99" t="e">
        <f>Z525</f>
        <v>#REF!</v>
      </c>
    </row>
    <row r="525" spans="2:26" hidden="1" x14ac:dyDescent="0.2">
      <c r="B525" s="147" t="s">
        <v>108</v>
      </c>
      <c r="C525" s="20" t="s">
        <v>9</v>
      </c>
      <c r="D525" s="21" t="s">
        <v>83</v>
      </c>
      <c r="E525" s="10" t="s">
        <v>83</v>
      </c>
      <c r="F525" s="10" t="s">
        <v>83</v>
      </c>
      <c r="G525" s="45">
        <v>5082</v>
      </c>
      <c r="H525" s="11" t="s">
        <v>83</v>
      </c>
      <c r="I525" s="180" t="s">
        <v>107</v>
      </c>
      <c r="J525" s="97" t="e">
        <f>#REF!+#REF!</f>
        <v>#REF!</v>
      </c>
      <c r="K525" s="97" t="e">
        <f>#REF!+#REF!</f>
        <v>#REF!</v>
      </c>
      <c r="L525" s="98" t="e">
        <f>#REF!+#REF!</f>
        <v>#REF!</v>
      </c>
      <c r="M525" s="98" t="e">
        <f>#REF!+#REF!</f>
        <v>#REF!</v>
      </c>
      <c r="N525" s="98" t="e">
        <f>#REF!+#REF!</f>
        <v>#REF!</v>
      </c>
      <c r="O525" s="98" t="e">
        <f>#REF!+#REF!</f>
        <v>#REF!</v>
      </c>
      <c r="P525" s="98" t="e">
        <f>#REF!+#REF!</f>
        <v>#REF!</v>
      </c>
      <c r="Q525" s="98" t="e">
        <f>#REF!+#REF!</f>
        <v>#REF!</v>
      </c>
      <c r="R525" s="98" t="e">
        <f>#REF!+#REF!</f>
        <v>#REF!</v>
      </c>
      <c r="S525" s="98" t="e">
        <f>#REF!+#REF!</f>
        <v>#REF!</v>
      </c>
      <c r="T525" s="99" t="e">
        <f>#REF!+#REF!</f>
        <v>#REF!</v>
      </c>
      <c r="U525" s="99" t="e">
        <f>#REF!+#REF!</f>
        <v>#REF!</v>
      </c>
      <c r="V525" s="98" t="e">
        <f>#REF!+#REF!</f>
        <v>#REF!</v>
      </c>
      <c r="W525" s="98" t="e">
        <f>#REF!+#REF!</f>
        <v>#REF!</v>
      </c>
      <c r="X525" s="99" t="e">
        <f>#REF!+#REF!</f>
        <v>#REF!</v>
      </c>
      <c r="Y525" s="99" t="e">
        <f>#REF!+#REF!</f>
        <v>#REF!</v>
      </c>
      <c r="Z525" s="99" t="e">
        <f>#REF!+#REF!</f>
        <v>#REF!</v>
      </c>
    </row>
    <row r="526" spans="2:26" ht="13.5" customHeight="1" x14ac:dyDescent="0.2">
      <c r="B526" s="100" t="s">
        <v>175</v>
      </c>
      <c r="C526" s="20" t="s">
        <v>9</v>
      </c>
      <c r="D526" s="10" t="s">
        <v>83</v>
      </c>
      <c r="E526" s="10" t="s">
        <v>83</v>
      </c>
      <c r="F526" s="10" t="s">
        <v>83</v>
      </c>
      <c r="G526" s="10" t="s">
        <v>20</v>
      </c>
      <c r="H526" s="11" t="s">
        <v>83</v>
      </c>
      <c r="I526" s="102"/>
      <c r="J526" s="97">
        <f t="shared" ref="J526:Y527" si="235">J527</f>
        <v>4654000</v>
      </c>
      <c r="K526" s="97">
        <f t="shared" si="235"/>
        <v>0</v>
      </c>
      <c r="L526" s="98">
        <f t="shared" si="235"/>
        <v>5521011.9699999997</v>
      </c>
      <c r="M526" s="98">
        <f t="shared" si="235"/>
        <v>0</v>
      </c>
      <c r="N526" s="98">
        <f t="shared" si="235"/>
        <v>5521011.9699999997</v>
      </c>
      <c r="O526" s="98">
        <f t="shared" si="235"/>
        <v>5521011.9699999997</v>
      </c>
      <c r="P526" s="98">
        <f t="shared" si="235"/>
        <v>0</v>
      </c>
      <c r="Q526" s="98">
        <f t="shared" si="235"/>
        <v>935452.67</v>
      </c>
      <c r="R526" s="98">
        <f t="shared" si="235"/>
        <v>6456464.6399999997</v>
      </c>
      <c r="S526" s="98">
        <f t="shared" si="235"/>
        <v>5521011.9699999997</v>
      </c>
      <c r="T526" s="99">
        <f t="shared" si="235"/>
        <v>5521011.9699999997</v>
      </c>
      <c r="U526" s="99">
        <f t="shared" si="235"/>
        <v>0</v>
      </c>
      <c r="V526" s="98">
        <f t="shared" si="235"/>
        <v>0</v>
      </c>
      <c r="W526" s="98">
        <f t="shared" si="235"/>
        <v>5521011.9699999997</v>
      </c>
      <c r="X526" s="99">
        <f t="shared" si="235"/>
        <v>5521011.9699999997</v>
      </c>
      <c r="Y526" s="99">
        <f t="shared" si="235"/>
        <v>0</v>
      </c>
      <c r="Z526" s="99">
        <f>Z527</f>
        <v>5521011.9699999997</v>
      </c>
    </row>
    <row r="527" spans="2:26" ht="27" customHeight="1" x14ac:dyDescent="0.2">
      <c r="B527" s="100" t="s">
        <v>46</v>
      </c>
      <c r="C527" s="34" t="s">
        <v>9</v>
      </c>
      <c r="D527" s="10" t="s">
        <v>83</v>
      </c>
      <c r="E527" s="10" t="s">
        <v>83</v>
      </c>
      <c r="F527" s="10" t="s">
        <v>83</v>
      </c>
      <c r="G527" s="10" t="s">
        <v>20</v>
      </c>
      <c r="H527" s="11" t="s">
        <v>83</v>
      </c>
      <c r="I527" s="102" t="s">
        <v>47</v>
      </c>
      <c r="J527" s="40">
        <f t="shared" si="235"/>
        <v>4654000</v>
      </c>
      <c r="K527" s="97">
        <f t="shared" si="235"/>
        <v>0</v>
      </c>
      <c r="L527" s="104">
        <f t="shared" si="235"/>
        <v>5521011.9699999997</v>
      </c>
      <c r="M527" s="104">
        <f t="shared" si="235"/>
        <v>0</v>
      </c>
      <c r="N527" s="104">
        <f t="shared" si="235"/>
        <v>5521011.9699999997</v>
      </c>
      <c r="O527" s="104">
        <f t="shared" si="235"/>
        <v>5521011.9699999997</v>
      </c>
      <c r="P527" s="104">
        <f t="shared" si="235"/>
        <v>0</v>
      </c>
      <c r="Q527" s="104">
        <f t="shared" si="235"/>
        <v>935452.67</v>
      </c>
      <c r="R527" s="104">
        <f t="shared" si="235"/>
        <v>6456464.6399999997</v>
      </c>
      <c r="S527" s="104">
        <f t="shared" si="235"/>
        <v>5521011.9699999997</v>
      </c>
      <c r="T527" s="104">
        <f t="shared" si="235"/>
        <v>5521011.9699999997</v>
      </c>
      <c r="U527" s="104">
        <f t="shared" si="235"/>
        <v>0</v>
      </c>
      <c r="V527" s="104">
        <f t="shared" si="235"/>
        <v>0</v>
      </c>
      <c r="W527" s="104">
        <f t="shared" si="235"/>
        <v>5521011.9699999997</v>
      </c>
      <c r="X527" s="104">
        <f t="shared" si="235"/>
        <v>5521011.9699999997</v>
      </c>
      <c r="Y527" s="104">
        <f>Y528</f>
        <v>0</v>
      </c>
      <c r="Z527" s="104">
        <f>Z528</f>
        <v>5521011.9699999997</v>
      </c>
    </row>
    <row r="528" spans="2:26" ht="22.5" customHeight="1" x14ac:dyDescent="0.2">
      <c r="B528" s="250" t="s">
        <v>167</v>
      </c>
      <c r="C528" s="21" t="s">
        <v>9</v>
      </c>
      <c r="D528" s="10" t="s">
        <v>83</v>
      </c>
      <c r="E528" s="10" t="s">
        <v>83</v>
      </c>
      <c r="F528" s="10" t="s">
        <v>83</v>
      </c>
      <c r="G528" s="10" t="s">
        <v>20</v>
      </c>
      <c r="H528" s="11" t="s">
        <v>83</v>
      </c>
      <c r="I528" s="102" t="s">
        <v>166</v>
      </c>
      <c r="J528" s="12">
        <v>4654000</v>
      </c>
      <c r="K528" s="103">
        <v>0</v>
      </c>
      <c r="L528" s="104">
        <v>5521011.9699999997</v>
      </c>
      <c r="M528" s="104">
        <v>0</v>
      </c>
      <c r="N528" s="104">
        <v>5521011.9699999997</v>
      </c>
      <c r="O528" s="104">
        <v>5521011.9699999997</v>
      </c>
      <c r="P528" s="104">
        <v>0</v>
      </c>
      <c r="Q528" s="104">
        <v>935452.67</v>
      </c>
      <c r="R528" s="104">
        <f>Q528+N528</f>
        <v>6456464.6399999997</v>
      </c>
      <c r="S528" s="104">
        <v>5521011.9699999997</v>
      </c>
      <c r="T528" s="104">
        <v>5521011.9699999997</v>
      </c>
      <c r="U528" s="104">
        <v>0</v>
      </c>
      <c r="V528" s="104">
        <v>0</v>
      </c>
      <c r="W528" s="104">
        <v>5521011.9699999997</v>
      </c>
      <c r="X528" s="104">
        <v>5521011.9699999997</v>
      </c>
      <c r="Y528" s="104">
        <v>0</v>
      </c>
      <c r="Z528" s="104">
        <v>5521011.9699999997</v>
      </c>
    </row>
    <row r="529" spans="2:26" ht="51" x14ac:dyDescent="0.2">
      <c r="B529" s="100" t="s">
        <v>202</v>
      </c>
      <c r="C529" s="34" t="s">
        <v>9</v>
      </c>
      <c r="D529" s="10" t="s">
        <v>83</v>
      </c>
      <c r="E529" s="10" t="s">
        <v>83</v>
      </c>
      <c r="F529" s="10" t="s">
        <v>83</v>
      </c>
      <c r="G529" s="10" t="s">
        <v>201</v>
      </c>
      <c r="H529" s="11" t="s">
        <v>83</v>
      </c>
      <c r="I529" s="198"/>
      <c r="J529" s="97">
        <f t="shared" ref="J529:Y530" si="236">J530</f>
        <v>336382.86</v>
      </c>
      <c r="K529" s="97">
        <f t="shared" si="236"/>
        <v>0</v>
      </c>
      <c r="L529" s="98">
        <f t="shared" si="236"/>
        <v>533016</v>
      </c>
      <c r="M529" s="98">
        <f t="shared" si="236"/>
        <v>0</v>
      </c>
      <c r="N529" s="98">
        <f t="shared" si="236"/>
        <v>533016</v>
      </c>
      <c r="O529" s="98">
        <f t="shared" si="236"/>
        <v>438048</v>
      </c>
      <c r="P529" s="98">
        <f t="shared" si="236"/>
        <v>0</v>
      </c>
      <c r="Q529" s="98">
        <f t="shared" si="236"/>
        <v>0</v>
      </c>
      <c r="R529" s="98">
        <f t="shared" si="236"/>
        <v>533016</v>
      </c>
      <c r="S529" s="98">
        <f t="shared" si="236"/>
        <v>438048</v>
      </c>
      <c r="T529" s="99">
        <f t="shared" si="236"/>
        <v>438048</v>
      </c>
      <c r="U529" s="99">
        <f t="shared" si="236"/>
        <v>0</v>
      </c>
      <c r="V529" s="98">
        <f t="shared" si="236"/>
        <v>0</v>
      </c>
      <c r="W529" s="98">
        <f t="shared" si="236"/>
        <v>438048</v>
      </c>
      <c r="X529" s="99">
        <f t="shared" si="236"/>
        <v>438048</v>
      </c>
      <c r="Y529" s="99">
        <f t="shared" si="236"/>
        <v>0</v>
      </c>
      <c r="Z529" s="99">
        <f>Z530</f>
        <v>438048</v>
      </c>
    </row>
    <row r="530" spans="2:26" x14ac:dyDescent="0.2">
      <c r="B530" s="100" t="s">
        <v>46</v>
      </c>
      <c r="C530" s="20" t="s">
        <v>9</v>
      </c>
      <c r="D530" s="10" t="s">
        <v>83</v>
      </c>
      <c r="E530" s="10" t="s">
        <v>83</v>
      </c>
      <c r="F530" s="10" t="s">
        <v>83</v>
      </c>
      <c r="G530" s="10" t="s">
        <v>201</v>
      </c>
      <c r="H530" s="11" t="s">
        <v>83</v>
      </c>
      <c r="I530" s="198" t="s">
        <v>47</v>
      </c>
      <c r="J530" s="97">
        <f t="shared" si="236"/>
        <v>336382.86</v>
      </c>
      <c r="K530" s="97">
        <f t="shared" si="236"/>
        <v>0</v>
      </c>
      <c r="L530" s="104">
        <f t="shared" si="236"/>
        <v>533016</v>
      </c>
      <c r="M530" s="104">
        <f t="shared" si="236"/>
        <v>0</v>
      </c>
      <c r="N530" s="104">
        <f t="shared" si="236"/>
        <v>533016</v>
      </c>
      <c r="O530" s="104">
        <f t="shared" si="236"/>
        <v>438048</v>
      </c>
      <c r="P530" s="104">
        <f t="shared" si="236"/>
        <v>0</v>
      </c>
      <c r="Q530" s="104">
        <f t="shared" si="236"/>
        <v>0</v>
      </c>
      <c r="R530" s="104">
        <f t="shared" si="236"/>
        <v>533016</v>
      </c>
      <c r="S530" s="104">
        <f t="shared" si="236"/>
        <v>438048</v>
      </c>
      <c r="T530" s="104">
        <f t="shared" si="236"/>
        <v>438048</v>
      </c>
      <c r="U530" s="104">
        <f t="shared" si="236"/>
        <v>0</v>
      </c>
      <c r="V530" s="104">
        <f t="shared" si="236"/>
        <v>0</v>
      </c>
      <c r="W530" s="104">
        <f t="shared" si="236"/>
        <v>438048</v>
      </c>
      <c r="X530" s="104">
        <f t="shared" si="236"/>
        <v>438048</v>
      </c>
      <c r="Y530" s="104">
        <f>Y531</f>
        <v>0</v>
      </c>
      <c r="Z530" s="104">
        <f>Z531</f>
        <v>438048</v>
      </c>
    </row>
    <row r="531" spans="2:26" ht="25.5" x14ac:dyDescent="0.2">
      <c r="B531" s="100" t="s">
        <v>48</v>
      </c>
      <c r="C531" s="34" t="s">
        <v>9</v>
      </c>
      <c r="D531" s="10" t="s">
        <v>83</v>
      </c>
      <c r="E531" s="10" t="s">
        <v>83</v>
      </c>
      <c r="F531" s="10" t="s">
        <v>83</v>
      </c>
      <c r="G531" s="10" t="s">
        <v>201</v>
      </c>
      <c r="H531" s="11" t="s">
        <v>83</v>
      </c>
      <c r="I531" s="198" t="s">
        <v>49</v>
      </c>
      <c r="J531" s="103">
        <v>336382.86</v>
      </c>
      <c r="K531" s="103">
        <v>0</v>
      </c>
      <c r="L531" s="104">
        <v>533016</v>
      </c>
      <c r="M531" s="104">
        <v>0</v>
      </c>
      <c r="N531" s="104">
        <v>533016</v>
      </c>
      <c r="O531" s="104">
        <v>438048</v>
      </c>
      <c r="P531" s="104">
        <v>0</v>
      </c>
      <c r="Q531" s="104">
        <v>0</v>
      </c>
      <c r="R531" s="104">
        <v>533016</v>
      </c>
      <c r="S531" s="104">
        <v>438048</v>
      </c>
      <c r="T531" s="104">
        <v>438048</v>
      </c>
      <c r="U531" s="104">
        <v>0</v>
      </c>
      <c r="V531" s="104">
        <v>0</v>
      </c>
      <c r="W531" s="104">
        <v>438048</v>
      </c>
      <c r="X531" s="104">
        <v>438048</v>
      </c>
      <c r="Y531" s="104">
        <v>0</v>
      </c>
      <c r="Z531" s="104">
        <v>438048</v>
      </c>
    </row>
    <row r="532" spans="2:26" ht="51" hidden="1" x14ac:dyDescent="0.2">
      <c r="B532" s="100" t="s">
        <v>105</v>
      </c>
      <c r="C532" s="20" t="s">
        <v>9</v>
      </c>
      <c r="D532" s="21" t="s">
        <v>83</v>
      </c>
      <c r="E532" s="10" t="s">
        <v>83</v>
      </c>
      <c r="F532" s="10" t="s">
        <v>83</v>
      </c>
      <c r="G532" s="45">
        <v>7877</v>
      </c>
      <c r="H532" s="11" t="s">
        <v>83</v>
      </c>
      <c r="I532" s="180"/>
      <c r="J532" s="97">
        <f t="shared" ref="J532:Y533" si="237">J533</f>
        <v>0</v>
      </c>
      <c r="K532" s="97">
        <f t="shared" si="237"/>
        <v>0</v>
      </c>
      <c r="L532" s="98">
        <f t="shared" si="237"/>
        <v>0</v>
      </c>
      <c r="M532" s="98">
        <f t="shared" si="237"/>
        <v>0</v>
      </c>
      <c r="N532" s="98">
        <f t="shared" si="237"/>
        <v>0</v>
      </c>
      <c r="O532" s="98">
        <f t="shared" si="237"/>
        <v>0</v>
      </c>
      <c r="P532" s="98">
        <f t="shared" si="237"/>
        <v>0</v>
      </c>
      <c r="Q532" s="98">
        <f t="shared" si="237"/>
        <v>0</v>
      </c>
      <c r="R532" s="98">
        <f t="shared" si="237"/>
        <v>0</v>
      </c>
      <c r="S532" s="98">
        <f t="shared" si="237"/>
        <v>0</v>
      </c>
      <c r="T532" s="99">
        <f t="shared" si="237"/>
        <v>0</v>
      </c>
      <c r="U532" s="99">
        <f t="shared" si="237"/>
        <v>0</v>
      </c>
      <c r="V532" s="98">
        <f t="shared" si="237"/>
        <v>0</v>
      </c>
      <c r="W532" s="98">
        <f t="shared" si="237"/>
        <v>0</v>
      </c>
      <c r="X532" s="99">
        <f t="shared" si="237"/>
        <v>0</v>
      </c>
      <c r="Y532" s="99">
        <f t="shared" si="237"/>
        <v>0</v>
      </c>
      <c r="Z532" s="99">
        <f>Z533</f>
        <v>0</v>
      </c>
    </row>
    <row r="533" spans="2:26" ht="25.5" hidden="1" x14ac:dyDescent="0.2">
      <c r="B533" s="95" t="s">
        <v>126</v>
      </c>
      <c r="C533" s="34" t="s">
        <v>9</v>
      </c>
      <c r="D533" s="21" t="s">
        <v>83</v>
      </c>
      <c r="E533" s="10" t="s">
        <v>83</v>
      </c>
      <c r="F533" s="10" t="s">
        <v>83</v>
      </c>
      <c r="G533" s="45">
        <v>7877</v>
      </c>
      <c r="H533" s="11" t="s">
        <v>83</v>
      </c>
      <c r="I533" s="180" t="s">
        <v>106</v>
      </c>
      <c r="J533" s="97">
        <f t="shared" si="237"/>
        <v>0</v>
      </c>
      <c r="K533" s="97">
        <f t="shared" si="237"/>
        <v>0</v>
      </c>
      <c r="L533" s="98">
        <f t="shared" si="237"/>
        <v>0</v>
      </c>
      <c r="M533" s="98">
        <f t="shared" si="237"/>
        <v>0</v>
      </c>
      <c r="N533" s="98">
        <f t="shared" si="237"/>
        <v>0</v>
      </c>
      <c r="O533" s="98">
        <f t="shared" si="237"/>
        <v>0</v>
      </c>
      <c r="P533" s="98">
        <f t="shared" si="237"/>
        <v>0</v>
      </c>
      <c r="Q533" s="98">
        <f t="shared" si="237"/>
        <v>0</v>
      </c>
      <c r="R533" s="98">
        <f t="shared" si="237"/>
        <v>0</v>
      </c>
      <c r="S533" s="98">
        <f t="shared" si="237"/>
        <v>0</v>
      </c>
      <c r="T533" s="99">
        <f t="shared" si="237"/>
        <v>0</v>
      </c>
      <c r="U533" s="99">
        <f t="shared" si="237"/>
        <v>0</v>
      </c>
      <c r="V533" s="98">
        <f t="shared" si="237"/>
        <v>0</v>
      </c>
      <c r="W533" s="98">
        <f t="shared" si="237"/>
        <v>0</v>
      </c>
      <c r="X533" s="99">
        <f t="shared" si="237"/>
        <v>0</v>
      </c>
      <c r="Y533" s="99">
        <f>Y534</f>
        <v>0</v>
      </c>
      <c r="Z533" s="99">
        <f>Z534</f>
        <v>0</v>
      </c>
    </row>
    <row r="534" spans="2:26" hidden="1" x14ac:dyDescent="0.2">
      <c r="B534" s="147" t="s">
        <v>108</v>
      </c>
      <c r="C534" s="20" t="s">
        <v>9</v>
      </c>
      <c r="D534" s="21" t="s">
        <v>83</v>
      </c>
      <c r="E534" s="10" t="s">
        <v>83</v>
      </c>
      <c r="F534" s="10" t="s">
        <v>83</v>
      </c>
      <c r="G534" s="45">
        <v>7877</v>
      </c>
      <c r="H534" s="11" t="s">
        <v>83</v>
      </c>
      <c r="I534" s="180" t="s">
        <v>107</v>
      </c>
      <c r="J534" s="97">
        <v>0</v>
      </c>
      <c r="K534" s="97">
        <v>0</v>
      </c>
      <c r="L534" s="98">
        <v>0</v>
      </c>
      <c r="M534" s="98">
        <v>0</v>
      </c>
      <c r="N534" s="98">
        <v>0</v>
      </c>
      <c r="O534" s="98">
        <v>0</v>
      </c>
      <c r="P534" s="98">
        <v>0</v>
      </c>
      <c r="Q534" s="98">
        <v>0</v>
      </c>
      <c r="R534" s="98">
        <v>0</v>
      </c>
      <c r="S534" s="98">
        <v>0</v>
      </c>
      <c r="T534" s="99">
        <v>0</v>
      </c>
      <c r="U534" s="99">
        <v>0</v>
      </c>
      <c r="V534" s="98">
        <v>0</v>
      </c>
      <c r="W534" s="98">
        <v>0</v>
      </c>
      <c r="X534" s="99">
        <v>0</v>
      </c>
      <c r="Y534" s="99">
        <v>0</v>
      </c>
      <c r="Z534" s="99">
        <v>0</v>
      </c>
    </row>
    <row r="535" spans="2:26" ht="51" hidden="1" x14ac:dyDescent="0.2">
      <c r="B535" s="100" t="s">
        <v>105</v>
      </c>
      <c r="C535" s="20" t="s">
        <v>9</v>
      </c>
      <c r="D535" s="21" t="s">
        <v>83</v>
      </c>
      <c r="E535" s="10" t="s">
        <v>83</v>
      </c>
      <c r="F535" s="10" t="s">
        <v>83</v>
      </c>
      <c r="G535" s="45">
        <v>7877</v>
      </c>
      <c r="H535" s="11" t="s">
        <v>83</v>
      </c>
      <c r="I535" s="149"/>
      <c r="J535" s="97">
        <f t="shared" ref="J535:Y536" si="238">J536</f>
        <v>770417.47</v>
      </c>
      <c r="K535" s="97">
        <f t="shared" si="238"/>
        <v>0</v>
      </c>
      <c r="L535" s="104">
        <f t="shared" si="238"/>
        <v>0</v>
      </c>
      <c r="M535" s="104">
        <f t="shared" si="238"/>
        <v>0</v>
      </c>
      <c r="N535" s="104">
        <f t="shared" si="238"/>
        <v>0</v>
      </c>
      <c r="O535" s="104">
        <f t="shared" si="238"/>
        <v>0</v>
      </c>
      <c r="P535" s="104">
        <f t="shared" si="238"/>
        <v>0</v>
      </c>
      <c r="Q535" s="104">
        <f t="shared" si="238"/>
        <v>0</v>
      </c>
      <c r="R535" s="104">
        <f t="shared" si="238"/>
        <v>0</v>
      </c>
      <c r="S535" s="104">
        <f t="shared" si="238"/>
        <v>0</v>
      </c>
      <c r="T535" s="105">
        <f t="shared" si="238"/>
        <v>0</v>
      </c>
      <c r="U535" s="105">
        <f t="shared" si="238"/>
        <v>0</v>
      </c>
      <c r="V535" s="104">
        <f t="shared" si="238"/>
        <v>0</v>
      </c>
      <c r="W535" s="104">
        <f t="shared" si="238"/>
        <v>0</v>
      </c>
      <c r="X535" s="105">
        <f t="shared" si="238"/>
        <v>0</v>
      </c>
      <c r="Y535" s="105">
        <f t="shared" si="238"/>
        <v>0</v>
      </c>
      <c r="Z535" s="105">
        <f>Z536</f>
        <v>0</v>
      </c>
    </row>
    <row r="536" spans="2:26" ht="25.5" hidden="1" x14ac:dyDescent="0.2">
      <c r="B536" s="95" t="s">
        <v>126</v>
      </c>
      <c r="C536" s="34" t="s">
        <v>9</v>
      </c>
      <c r="D536" s="21" t="s">
        <v>83</v>
      </c>
      <c r="E536" s="10" t="s">
        <v>83</v>
      </c>
      <c r="F536" s="10" t="s">
        <v>83</v>
      </c>
      <c r="G536" s="45">
        <v>7877</v>
      </c>
      <c r="H536" s="11" t="s">
        <v>83</v>
      </c>
      <c r="I536" s="149" t="s">
        <v>106</v>
      </c>
      <c r="J536" s="97">
        <f t="shared" si="238"/>
        <v>770417.47</v>
      </c>
      <c r="K536" s="97">
        <f t="shared" si="238"/>
        <v>0</v>
      </c>
      <c r="L536" s="104">
        <f t="shared" si="238"/>
        <v>0</v>
      </c>
      <c r="M536" s="104">
        <f t="shared" si="238"/>
        <v>0</v>
      </c>
      <c r="N536" s="104">
        <f t="shared" si="238"/>
        <v>0</v>
      </c>
      <c r="O536" s="104">
        <f t="shared" si="238"/>
        <v>0</v>
      </c>
      <c r="P536" s="104">
        <f t="shared" si="238"/>
        <v>0</v>
      </c>
      <c r="Q536" s="104">
        <f t="shared" si="238"/>
        <v>0</v>
      </c>
      <c r="R536" s="104">
        <f t="shared" si="238"/>
        <v>0</v>
      </c>
      <c r="S536" s="104">
        <f t="shared" si="238"/>
        <v>0</v>
      </c>
      <c r="T536" s="105">
        <f t="shared" si="238"/>
        <v>0</v>
      </c>
      <c r="U536" s="105">
        <f t="shared" si="238"/>
        <v>0</v>
      </c>
      <c r="V536" s="104">
        <f t="shared" si="238"/>
        <v>0</v>
      </c>
      <c r="W536" s="104">
        <f t="shared" si="238"/>
        <v>0</v>
      </c>
      <c r="X536" s="105">
        <f t="shared" si="238"/>
        <v>0</v>
      </c>
      <c r="Y536" s="105">
        <f>Y537</f>
        <v>0</v>
      </c>
      <c r="Z536" s="105">
        <f>Z537</f>
        <v>0</v>
      </c>
    </row>
    <row r="537" spans="2:26" hidden="1" x14ac:dyDescent="0.2">
      <c r="B537" s="147" t="s">
        <v>108</v>
      </c>
      <c r="C537" s="20" t="s">
        <v>9</v>
      </c>
      <c r="D537" s="21" t="s">
        <v>83</v>
      </c>
      <c r="E537" s="10" t="s">
        <v>83</v>
      </c>
      <c r="F537" s="10" t="s">
        <v>83</v>
      </c>
      <c r="G537" s="45">
        <v>7877</v>
      </c>
      <c r="H537" s="11" t="s">
        <v>83</v>
      </c>
      <c r="I537" s="149" t="s">
        <v>107</v>
      </c>
      <c r="J537" s="103">
        <v>770417.47</v>
      </c>
      <c r="K537" s="103">
        <v>0</v>
      </c>
      <c r="L537" s="104"/>
      <c r="M537" s="104"/>
      <c r="N537" s="104"/>
      <c r="O537" s="104"/>
      <c r="P537" s="104"/>
      <c r="Q537" s="104"/>
      <c r="R537" s="104"/>
      <c r="S537" s="104"/>
      <c r="T537" s="105"/>
      <c r="U537" s="105"/>
      <c r="V537" s="104"/>
      <c r="W537" s="104"/>
      <c r="X537" s="105"/>
      <c r="Y537" s="105"/>
      <c r="Z537" s="105"/>
    </row>
    <row r="538" spans="2:26" ht="25.5" x14ac:dyDescent="0.2">
      <c r="B538" s="100" t="s">
        <v>73</v>
      </c>
      <c r="C538" s="39" t="s">
        <v>9</v>
      </c>
      <c r="D538" s="16" t="s">
        <v>83</v>
      </c>
      <c r="E538" s="16" t="s">
        <v>83</v>
      </c>
      <c r="F538" s="16" t="s">
        <v>83</v>
      </c>
      <c r="G538" s="16" t="s">
        <v>193</v>
      </c>
      <c r="H538" s="11" t="s">
        <v>81</v>
      </c>
      <c r="I538" s="102"/>
      <c r="J538" s="97">
        <f t="shared" ref="J538:X538" si="239">J539+J541</f>
        <v>4544586.09</v>
      </c>
      <c r="K538" s="97">
        <f t="shared" si="239"/>
        <v>0</v>
      </c>
      <c r="L538" s="98">
        <f t="shared" si="239"/>
        <v>5208290.22</v>
      </c>
      <c r="M538" s="98">
        <f t="shared" si="239"/>
        <v>0</v>
      </c>
      <c r="N538" s="98">
        <f t="shared" si="239"/>
        <v>5208290.22</v>
      </c>
      <c r="O538" s="98">
        <f t="shared" si="239"/>
        <v>5304140.8699999992</v>
      </c>
      <c r="P538" s="98">
        <f t="shared" si="239"/>
        <v>0</v>
      </c>
      <c r="Q538" s="98">
        <f>Q539+Q541</f>
        <v>0</v>
      </c>
      <c r="R538" s="98">
        <f>R539+R541</f>
        <v>5208290.22</v>
      </c>
      <c r="S538" s="98">
        <f t="shared" si="239"/>
        <v>5304140.8699999992</v>
      </c>
      <c r="T538" s="99">
        <f t="shared" si="239"/>
        <v>5504053.21</v>
      </c>
      <c r="U538" s="99">
        <f t="shared" si="239"/>
        <v>0</v>
      </c>
      <c r="V538" s="98">
        <f>V539+V541</f>
        <v>0</v>
      </c>
      <c r="W538" s="98">
        <f>W539+W541</f>
        <v>5304140.8699999992</v>
      </c>
      <c r="X538" s="99">
        <f t="shared" si="239"/>
        <v>5504053.21</v>
      </c>
      <c r="Y538" s="99">
        <f>Y539+Y541</f>
        <v>0</v>
      </c>
      <c r="Z538" s="99">
        <f>Z539+Z541</f>
        <v>5504053.21</v>
      </c>
    </row>
    <row r="539" spans="2:26" ht="51" x14ac:dyDescent="0.2">
      <c r="B539" s="100" t="s">
        <v>57</v>
      </c>
      <c r="C539" s="39" t="s">
        <v>9</v>
      </c>
      <c r="D539" s="16" t="s">
        <v>83</v>
      </c>
      <c r="E539" s="16" t="s">
        <v>83</v>
      </c>
      <c r="F539" s="16" t="s">
        <v>83</v>
      </c>
      <c r="G539" s="16" t="s">
        <v>193</v>
      </c>
      <c r="H539" s="11" t="s">
        <v>81</v>
      </c>
      <c r="I539" s="102">
        <v>100</v>
      </c>
      <c r="J539" s="97">
        <f t="shared" ref="J539:Z539" si="240">J540</f>
        <v>4418600</v>
      </c>
      <c r="K539" s="97">
        <f t="shared" si="240"/>
        <v>0</v>
      </c>
      <c r="L539" s="104">
        <f t="shared" si="240"/>
        <v>5069154.45</v>
      </c>
      <c r="M539" s="104">
        <f t="shared" si="240"/>
        <v>0</v>
      </c>
      <c r="N539" s="104">
        <f t="shared" si="240"/>
        <v>5069154.45</v>
      </c>
      <c r="O539" s="104">
        <f t="shared" si="240"/>
        <v>5161505.0999999996</v>
      </c>
      <c r="P539" s="104">
        <f t="shared" si="240"/>
        <v>0</v>
      </c>
      <c r="Q539" s="104">
        <f t="shared" si="240"/>
        <v>0</v>
      </c>
      <c r="R539" s="104">
        <f t="shared" si="240"/>
        <v>5069154.45</v>
      </c>
      <c r="S539" s="104">
        <f t="shared" si="240"/>
        <v>5161505.0999999996</v>
      </c>
      <c r="T539" s="104">
        <f t="shared" si="240"/>
        <v>5361417.4400000004</v>
      </c>
      <c r="U539" s="104">
        <f t="shared" si="240"/>
        <v>0</v>
      </c>
      <c r="V539" s="104">
        <f t="shared" si="240"/>
        <v>0</v>
      </c>
      <c r="W539" s="104">
        <f t="shared" si="240"/>
        <v>5161505.0999999996</v>
      </c>
      <c r="X539" s="104">
        <f t="shared" si="240"/>
        <v>5361417.4400000004</v>
      </c>
      <c r="Y539" s="104">
        <f t="shared" si="240"/>
        <v>0</v>
      </c>
      <c r="Z539" s="104">
        <f t="shared" si="240"/>
        <v>5361417.4400000004</v>
      </c>
    </row>
    <row r="540" spans="2:26" ht="25.5" x14ac:dyDescent="0.2">
      <c r="B540" s="100" t="s">
        <v>51</v>
      </c>
      <c r="C540" s="39" t="s">
        <v>9</v>
      </c>
      <c r="D540" s="16" t="s">
        <v>83</v>
      </c>
      <c r="E540" s="16" t="s">
        <v>83</v>
      </c>
      <c r="F540" s="16" t="s">
        <v>83</v>
      </c>
      <c r="G540" s="16" t="s">
        <v>193</v>
      </c>
      <c r="H540" s="11" t="s">
        <v>81</v>
      </c>
      <c r="I540" s="102">
        <v>120</v>
      </c>
      <c r="J540" s="103">
        <f>3287400+986800+144400</f>
        <v>4418600</v>
      </c>
      <c r="K540" s="103">
        <v>0</v>
      </c>
      <c r="L540" s="104">
        <f>3802607.09+1142347.36+124200</f>
        <v>5069154.45</v>
      </c>
      <c r="M540" s="104">
        <v>0</v>
      </c>
      <c r="N540" s="104">
        <f>3802607.09+1142347.36+124200</f>
        <v>5069154.45</v>
      </c>
      <c r="O540" s="104">
        <f>3934980.86+1182324.24+44200</f>
        <v>5161505.0999999996</v>
      </c>
      <c r="P540" s="104">
        <v>0</v>
      </c>
      <c r="Q540" s="104">
        <v>0</v>
      </c>
      <c r="R540" s="104">
        <f>3802607.09+1142347.36+124200</f>
        <v>5069154.45</v>
      </c>
      <c r="S540" s="104">
        <f>3934980.86+1182324.24+44200</f>
        <v>5161505.0999999996</v>
      </c>
      <c r="T540" s="104">
        <f>4037064.1+1213153.34+111200</f>
        <v>5361417.4400000004</v>
      </c>
      <c r="U540" s="104">
        <v>0</v>
      </c>
      <c r="V540" s="104">
        <v>0</v>
      </c>
      <c r="W540" s="104">
        <f>3934980.86+1182324.24+44200</f>
        <v>5161505.0999999996</v>
      </c>
      <c r="X540" s="104">
        <f>4037064.1+1213153.34+111200</f>
        <v>5361417.4400000004</v>
      </c>
      <c r="Y540" s="104">
        <v>0</v>
      </c>
      <c r="Z540" s="104">
        <f>4037064.1+1213153.34+111200</f>
        <v>5361417.4400000004</v>
      </c>
    </row>
    <row r="541" spans="2:26" ht="25.5" x14ac:dyDescent="0.2">
      <c r="B541" s="100" t="s">
        <v>42</v>
      </c>
      <c r="C541" s="39" t="s">
        <v>9</v>
      </c>
      <c r="D541" s="16" t="s">
        <v>83</v>
      </c>
      <c r="E541" s="16" t="s">
        <v>83</v>
      </c>
      <c r="F541" s="16" t="s">
        <v>83</v>
      </c>
      <c r="G541" s="16" t="s">
        <v>193</v>
      </c>
      <c r="H541" s="11" t="s">
        <v>81</v>
      </c>
      <c r="I541" s="102">
        <v>200</v>
      </c>
      <c r="J541" s="103">
        <f t="shared" ref="J541:Z541" si="241">J542</f>
        <v>125986.09</v>
      </c>
      <c r="K541" s="103">
        <f t="shared" si="241"/>
        <v>0</v>
      </c>
      <c r="L541" s="104">
        <f t="shared" si="241"/>
        <v>139135.76999999999</v>
      </c>
      <c r="M541" s="104">
        <f t="shared" si="241"/>
        <v>0</v>
      </c>
      <c r="N541" s="104">
        <f t="shared" si="241"/>
        <v>139135.76999999999</v>
      </c>
      <c r="O541" s="104">
        <f t="shared" si="241"/>
        <v>142635.76999999999</v>
      </c>
      <c r="P541" s="104">
        <f t="shared" si="241"/>
        <v>0</v>
      </c>
      <c r="Q541" s="104">
        <f t="shared" si="241"/>
        <v>0</v>
      </c>
      <c r="R541" s="104">
        <f t="shared" si="241"/>
        <v>139135.76999999999</v>
      </c>
      <c r="S541" s="104">
        <f t="shared" si="241"/>
        <v>142635.76999999999</v>
      </c>
      <c r="T541" s="104">
        <f t="shared" si="241"/>
        <v>142635.76999999999</v>
      </c>
      <c r="U541" s="104">
        <f t="shared" si="241"/>
        <v>0</v>
      </c>
      <c r="V541" s="104">
        <f t="shared" si="241"/>
        <v>0</v>
      </c>
      <c r="W541" s="104">
        <f t="shared" si="241"/>
        <v>142635.76999999999</v>
      </c>
      <c r="X541" s="104">
        <f t="shared" si="241"/>
        <v>142635.76999999999</v>
      </c>
      <c r="Y541" s="104">
        <f t="shared" si="241"/>
        <v>0</v>
      </c>
      <c r="Z541" s="104">
        <f t="shared" si="241"/>
        <v>142635.76999999999</v>
      </c>
    </row>
    <row r="542" spans="2:26" ht="25.5" x14ac:dyDescent="0.2">
      <c r="B542" s="100" t="s">
        <v>44</v>
      </c>
      <c r="C542" s="39" t="s">
        <v>9</v>
      </c>
      <c r="D542" s="16" t="s">
        <v>83</v>
      </c>
      <c r="E542" s="16" t="s">
        <v>83</v>
      </c>
      <c r="F542" s="16" t="s">
        <v>83</v>
      </c>
      <c r="G542" s="16" t="s">
        <v>193</v>
      </c>
      <c r="H542" s="11" t="s">
        <v>81</v>
      </c>
      <c r="I542" s="102">
        <v>240</v>
      </c>
      <c r="J542" s="103">
        <v>125986.09</v>
      </c>
      <c r="K542" s="103">
        <v>0</v>
      </c>
      <c r="L542" s="104">
        <v>139135.76999999999</v>
      </c>
      <c r="M542" s="104">
        <v>0</v>
      </c>
      <c r="N542" s="104">
        <v>139135.76999999999</v>
      </c>
      <c r="O542" s="104">
        <v>142635.76999999999</v>
      </c>
      <c r="P542" s="104">
        <v>0</v>
      </c>
      <c r="Q542" s="104">
        <v>0</v>
      </c>
      <c r="R542" s="104">
        <v>139135.76999999999</v>
      </c>
      <c r="S542" s="104">
        <v>142635.76999999999</v>
      </c>
      <c r="T542" s="104">
        <v>142635.76999999999</v>
      </c>
      <c r="U542" s="104">
        <v>0</v>
      </c>
      <c r="V542" s="104">
        <v>0</v>
      </c>
      <c r="W542" s="104">
        <v>142635.76999999999</v>
      </c>
      <c r="X542" s="104">
        <v>142635.76999999999</v>
      </c>
      <c r="Y542" s="104">
        <v>0</v>
      </c>
      <c r="Z542" s="104">
        <v>142635.76999999999</v>
      </c>
    </row>
    <row r="543" spans="2:26" ht="38.25" hidden="1" x14ac:dyDescent="0.2">
      <c r="B543" s="100" t="s">
        <v>35</v>
      </c>
      <c r="C543" s="39" t="s">
        <v>9</v>
      </c>
      <c r="D543" s="16" t="s">
        <v>83</v>
      </c>
      <c r="E543" s="16" t="s">
        <v>83</v>
      </c>
      <c r="F543" s="16" t="s">
        <v>83</v>
      </c>
      <c r="G543" s="16" t="s">
        <v>58</v>
      </c>
      <c r="H543" s="11" t="s">
        <v>83</v>
      </c>
      <c r="I543" s="102"/>
      <c r="J543" s="97">
        <f t="shared" ref="J543:Y544" si="242">J544</f>
        <v>0</v>
      </c>
      <c r="K543" s="97">
        <f t="shared" si="242"/>
        <v>0</v>
      </c>
      <c r="L543" s="98">
        <f t="shared" si="242"/>
        <v>0</v>
      </c>
      <c r="M543" s="98">
        <f t="shared" si="242"/>
        <v>0</v>
      </c>
      <c r="N543" s="98">
        <f t="shared" si="242"/>
        <v>0</v>
      </c>
      <c r="O543" s="98">
        <f t="shared" si="242"/>
        <v>0</v>
      </c>
      <c r="P543" s="98">
        <f t="shared" si="242"/>
        <v>0</v>
      </c>
      <c r="Q543" s="98">
        <f t="shared" si="242"/>
        <v>0</v>
      </c>
      <c r="R543" s="98">
        <f t="shared" si="242"/>
        <v>0</v>
      </c>
      <c r="S543" s="98">
        <f t="shared" si="242"/>
        <v>0</v>
      </c>
      <c r="T543" s="99">
        <f t="shared" si="242"/>
        <v>0</v>
      </c>
      <c r="U543" s="99">
        <f t="shared" si="242"/>
        <v>0</v>
      </c>
      <c r="V543" s="98">
        <f t="shared" si="242"/>
        <v>0</v>
      </c>
      <c r="W543" s="98">
        <f t="shared" si="242"/>
        <v>0</v>
      </c>
      <c r="X543" s="99">
        <f t="shared" si="242"/>
        <v>0</v>
      </c>
      <c r="Y543" s="99">
        <f t="shared" si="242"/>
        <v>0</v>
      </c>
      <c r="Z543" s="99">
        <f>Z544</f>
        <v>0</v>
      </c>
    </row>
    <row r="544" spans="2:26" hidden="1" x14ac:dyDescent="0.2">
      <c r="B544" s="100" t="s">
        <v>46</v>
      </c>
      <c r="C544" s="188" t="s">
        <v>9</v>
      </c>
      <c r="D544" s="16" t="s">
        <v>83</v>
      </c>
      <c r="E544" s="16" t="s">
        <v>83</v>
      </c>
      <c r="F544" s="16" t="s">
        <v>83</v>
      </c>
      <c r="G544" s="16" t="s">
        <v>58</v>
      </c>
      <c r="H544" s="11" t="s">
        <v>83</v>
      </c>
      <c r="I544" s="102" t="s">
        <v>47</v>
      </c>
      <c r="J544" s="97">
        <f t="shared" si="242"/>
        <v>0</v>
      </c>
      <c r="K544" s="97">
        <f t="shared" si="242"/>
        <v>0</v>
      </c>
      <c r="L544" s="98">
        <f t="shared" si="242"/>
        <v>0</v>
      </c>
      <c r="M544" s="98">
        <f t="shared" si="242"/>
        <v>0</v>
      </c>
      <c r="N544" s="98">
        <f t="shared" si="242"/>
        <v>0</v>
      </c>
      <c r="O544" s="98">
        <f t="shared" si="242"/>
        <v>0</v>
      </c>
      <c r="P544" s="98">
        <f t="shared" si="242"/>
        <v>0</v>
      </c>
      <c r="Q544" s="98">
        <f t="shared" si="242"/>
        <v>0</v>
      </c>
      <c r="R544" s="98">
        <f t="shared" si="242"/>
        <v>0</v>
      </c>
      <c r="S544" s="98">
        <f t="shared" si="242"/>
        <v>0</v>
      </c>
      <c r="T544" s="99">
        <f t="shared" si="242"/>
        <v>0</v>
      </c>
      <c r="U544" s="99">
        <f t="shared" si="242"/>
        <v>0</v>
      </c>
      <c r="V544" s="98">
        <f t="shared" si="242"/>
        <v>0</v>
      </c>
      <c r="W544" s="98">
        <f t="shared" si="242"/>
        <v>0</v>
      </c>
      <c r="X544" s="99">
        <f t="shared" si="242"/>
        <v>0</v>
      </c>
      <c r="Y544" s="99">
        <f>Y545</f>
        <v>0</v>
      </c>
      <c r="Z544" s="99">
        <f>Z545</f>
        <v>0</v>
      </c>
    </row>
    <row r="545" spans="1:26" ht="25.5" hidden="1" x14ac:dyDescent="0.2">
      <c r="B545" s="100" t="s">
        <v>48</v>
      </c>
      <c r="C545" s="39" t="s">
        <v>9</v>
      </c>
      <c r="D545" s="16" t="s">
        <v>83</v>
      </c>
      <c r="E545" s="16" t="s">
        <v>83</v>
      </c>
      <c r="F545" s="16" t="s">
        <v>83</v>
      </c>
      <c r="G545" s="16" t="s">
        <v>58</v>
      </c>
      <c r="H545" s="11" t="s">
        <v>83</v>
      </c>
      <c r="I545" s="102" t="s">
        <v>49</v>
      </c>
      <c r="J545" s="97">
        <v>0</v>
      </c>
      <c r="K545" s="97">
        <v>0</v>
      </c>
      <c r="L545" s="98">
        <v>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9">
        <v>0</v>
      </c>
      <c r="U545" s="99">
        <v>0</v>
      </c>
      <c r="V545" s="98">
        <v>0</v>
      </c>
      <c r="W545" s="98">
        <v>0</v>
      </c>
      <c r="X545" s="99">
        <v>0</v>
      </c>
      <c r="Y545" s="99">
        <v>0</v>
      </c>
      <c r="Z545" s="99">
        <v>0</v>
      </c>
    </row>
    <row r="546" spans="1:26" ht="60" hidden="1" customHeight="1" x14ac:dyDescent="0.2">
      <c r="B546" s="250" t="s">
        <v>178</v>
      </c>
      <c r="C546" s="21" t="s">
        <v>9</v>
      </c>
      <c r="D546" s="21" t="s">
        <v>83</v>
      </c>
      <c r="E546" s="10" t="s">
        <v>83</v>
      </c>
      <c r="F546" s="10" t="s">
        <v>83</v>
      </c>
      <c r="G546" s="45" t="s">
        <v>104</v>
      </c>
      <c r="H546" s="11" t="s">
        <v>85</v>
      </c>
      <c r="I546" s="149"/>
      <c r="J546" s="29"/>
      <c r="K546" s="215"/>
      <c r="L546" s="104">
        <f t="shared" ref="L546:Z547" si="243">L547</f>
        <v>0</v>
      </c>
      <c r="M546" s="104">
        <f t="shared" si="243"/>
        <v>0</v>
      </c>
      <c r="N546" s="104">
        <f t="shared" si="243"/>
        <v>0</v>
      </c>
      <c r="O546" s="104">
        <f t="shared" si="243"/>
        <v>0</v>
      </c>
      <c r="P546" s="104">
        <f t="shared" si="243"/>
        <v>0</v>
      </c>
      <c r="Q546" s="104">
        <f t="shared" si="243"/>
        <v>0</v>
      </c>
      <c r="R546" s="104">
        <f t="shared" si="243"/>
        <v>0</v>
      </c>
      <c r="S546" s="104">
        <f t="shared" si="243"/>
        <v>0</v>
      </c>
      <c r="T546" s="105">
        <f t="shared" si="243"/>
        <v>0</v>
      </c>
      <c r="U546" s="105">
        <f t="shared" si="243"/>
        <v>0</v>
      </c>
      <c r="V546" s="104">
        <f t="shared" si="243"/>
        <v>0</v>
      </c>
      <c r="W546" s="104">
        <f t="shared" si="243"/>
        <v>0</v>
      </c>
      <c r="X546" s="105">
        <f t="shared" si="243"/>
        <v>0</v>
      </c>
      <c r="Y546" s="105">
        <f t="shared" si="243"/>
        <v>0</v>
      </c>
      <c r="Z546" s="105">
        <f t="shared" si="243"/>
        <v>0</v>
      </c>
    </row>
    <row r="547" spans="1:26" ht="27.75" hidden="1" customHeight="1" x14ac:dyDescent="0.2">
      <c r="B547" s="251" t="s">
        <v>126</v>
      </c>
      <c r="C547" s="10" t="s">
        <v>9</v>
      </c>
      <c r="D547" s="21" t="s">
        <v>83</v>
      </c>
      <c r="E547" s="10" t="s">
        <v>83</v>
      </c>
      <c r="F547" s="10" t="s">
        <v>83</v>
      </c>
      <c r="G547" s="45" t="s">
        <v>104</v>
      </c>
      <c r="H547" s="11" t="s">
        <v>85</v>
      </c>
      <c r="I547" s="149" t="s">
        <v>106</v>
      </c>
      <c r="J547" s="29"/>
      <c r="K547" s="215"/>
      <c r="L547" s="104">
        <f t="shared" si="243"/>
        <v>0</v>
      </c>
      <c r="M547" s="104">
        <f t="shared" si="243"/>
        <v>0</v>
      </c>
      <c r="N547" s="104">
        <f t="shared" si="243"/>
        <v>0</v>
      </c>
      <c r="O547" s="104">
        <f t="shared" si="243"/>
        <v>0</v>
      </c>
      <c r="P547" s="104">
        <f t="shared" si="243"/>
        <v>0</v>
      </c>
      <c r="Q547" s="104">
        <f t="shared" si="243"/>
        <v>0</v>
      </c>
      <c r="R547" s="104">
        <f t="shared" si="243"/>
        <v>0</v>
      </c>
      <c r="S547" s="104">
        <f t="shared" si="243"/>
        <v>0</v>
      </c>
      <c r="T547" s="105">
        <f t="shared" si="243"/>
        <v>0</v>
      </c>
      <c r="U547" s="105">
        <f t="shared" si="243"/>
        <v>0</v>
      </c>
      <c r="V547" s="104">
        <f t="shared" si="243"/>
        <v>0</v>
      </c>
      <c r="W547" s="104">
        <f t="shared" si="243"/>
        <v>0</v>
      </c>
      <c r="X547" s="105">
        <f t="shared" si="243"/>
        <v>0</v>
      </c>
      <c r="Y547" s="105">
        <f t="shared" si="243"/>
        <v>0</v>
      </c>
      <c r="Z547" s="105">
        <f t="shared" si="243"/>
        <v>0</v>
      </c>
    </row>
    <row r="548" spans="1:26" ht="27.75" hidden="1" customHeight="1" x14ac:dyDescent="0.2">
      <c r="B548" s="253" t="s">
        <v>108</v>
      </c>
      <c r="C548" s="25" t="s">
        <v>9</v>
      </c>
      <c r="D548" s="25" t="s">
        <v>83</v>
      </c>
      <c r="E548" s="26" t="s">
        <v>83</v>
      </c>
      <c r="F548" s="26" t="s">
        <v>83</v>
      </c>
      <c r="G548" s="239" t="s">
        <v>104</v>
      </c>
      <c r="H548" s="28" t="s">
        <v>85</v>
      </c>
      <c r="I548" s="123" t="s">
        <v>107</v>
      </c>
      <c r="J548" s="29"/>
      <c r="K548" s="215"/>
      <c r="L548" s="216"/>
      <c r="M548" s="216"/>
      <c r="N548" s="216"/>
      <c r="O548" s="216"/>
      <c r="P548" s="216"/>
      <c r="Q548" s="216"/>
      <c r="R548" s="216"/>
      <c r="S548" s="216"/>
      <c r="T548" s="217"/>
      <c r="U548" s="217"/>
      <c r="V548" s="216"/>
      <c r="W548" s="216"/>
      <c r="X548" s="217"/>
      <c r="Y548" s="217"/>
      <c r="Z548" s="217"/>
    </row>
    <row r="549" spans="1:26" ht="9" customHeight="1" x14ac:dyDescent="0.2">
      <c r="B549" s="169"/>
      <c r="C549" s="46"/>
      <c r="D549" s="150"/>
      <c r="E549" s="26"/>
      <c r="F549" s="26"/>
      <c r="G549" s="150"/>
      <c r="H549" s="150"/>
      <c r="I549" s="263"/>
      <c r="J549" s="29"/>
      <c r="K549" s="215"/>
      <c r="L549" s="216"/>
      <c r="M549" s="216"/>
      <c r="N549" s="216"/>
      <c r="O549" s="216"/>
      <c r="P549" s="216"/>
      <c r="Q549" s="216"/>
      <c r="R549" s="216"/>
      <c r="S549" s="216"/>
      <c r="T549" s="217"/>
      <c r="U549" s="217"/>
      <c r="V549" s="216"/>
      <c r="W549" s="216"/>
      <c r="X549" s="217"/>
      <c r="Y549" s="217"/>
      <c r="Z549" s="217"/>
    </row>
    <row r="550" spans="1:26" ht="27.75" customHeight="1" x14ac:dyDescent="0.2">
      <c r="B550" s="273" t="s">
        <v>40</v>
      </c>
      <c r="C550" s="128" t="s">
        <v>176</v>
      </c>
      <c r="D550" s="129" t="s">
        <v>83</v>
      </c>
      <c r="E550" s="129" t="s">
        <v>83</v>
      </c>
      <c r="F550" s="129" t="s">
        <v>83</v>
      </c>
      <c r="G550" s="129" t="s">
        <v>84</v>
      </c>
      <c r="H550" s="130" t="s">
        <v>83</v>
      </c>
      <c r="I550" s="131"/>
      <c r="J550" s="155"/>
      <c r="K550" s="153"/>
      <c r="L550" s="264">
        <f t="shared" ref="L550:Z550" si="244">L551</f>
        <v>58800000</v>
      </c>
      <c r="M550" s="264">
        <f t="shared" si="244"/>
        <v>0</v>
      </c>
      <c r="N550" s="264">
        <f t="shared" si="244"/>
        <v>58800000</v>
      </c>
      <c r="O550" s="264">
        <f t="shared" si="244"/>
        <v>0</v>
      </c>
      <c r="P550" s="264">
        <f t="shared" si="244"/>
        <v>0</v>
      </c>
      <c r="Q550" s="264">
        <f t="shared" si="244"/>
        <v>-58800000</v>
      </c>
      <c r="R550" s="264">
        <f t="shared" si="244"/>
        <v>0</v>
      </c>
      <c r="S550" s="264">
        <f t="shared" si="244"/>
        <v>0</v>
      </c>
      <c r="T550" s="264">
        <f t="shared" si="244"/>
        <v>0</v>
      </c>
      <c r="U550" s="264">
        <f t="shared" si="244"/>
        <v>0</v>
      </c>
      <c r="V550" s="264">
        <f t="shared" si="244"/>
        <v>0</v>
      </c>
      <c r="W550" s="264">
        <f t="shared" si="244"/>
        <v>0</v>
      </c>
      <c r="X550" s="264">
        <f t="shared" si="244"/>
        <v>0</v>
      </c>
      <c r="Y550" s="264">
        <f t="shared" si="244"/>
        <v>0</v>
      </c>
      <c r="Z550" s="264">
        <f t="shared" si="244"/>
        <v>0</v>
      </c>
    </row>
    <row r="551" spans="1:26" ht="45" customHeight="1" x14ac:dyDescent="0.2">
      <c r="B551" s="250" t="s">
        <v>244</v>
      </c>
      <c r="C551" s="34" t="s">
        <v>176</v>
      </c>
      <c r="D551" s="10" t="s">
        <v>83</v>
      </c>
      <c r="E551" s="10" t="s">
        <v>83</v>
      </c>
      <c r="F551" s="10" t="s">
        <v>83</v>
      </c>
      <c r="G551" s="21" t="s">
        <v>274</v>
      </c>
      <c r="H551" s="11" t="s">
        <v>83</v>
      </c>
      <c r="I551" s="198"/>
      <c r="J551" s="12"/>
      <c r="K551" s="13"/>
      <c r="L551" s="104">
        <f t="shared" ref="L551:Z552" si="245">L552</f>
        <v>58800000</v>
      </c>
      <c r="M551" s="104">
        <f t="shared" si="245"/>
        <v>0</v>
      </c>
      <c r="N551" s="104">
        <f t="shared" si="245"/>
        <v>58800000</v>
      </c>
      <c r="O551" s="104">
        <f t="shared" si="245"/>
        <v>0</v>
      </c>
      <c r="P551" s="104">
        <f t="shared" si="245"/>
        <v>0</v>
      </c>
      <c r="Q551" s="104">
        <f t="shared" si="245"/>
        <v>-58800000</v>
      </c>
      <c r="R551" s="104">
        <f t="shared" si="245"/>
        <v>0</v>
      </c>
      <c r="S551" s="104">
        <f t="shared" si="245"/>
        <v>0</v>
      </c>
      <c r="T551" s="104">
        <f t="shared" si="245"/>
        <v>0</v>
      </c>
      <c r="U551" s="104">
        <f t="shared" si="245"/>
        <v>0</v>
      </c>
      <c r="V551" s="104">
        <f t="shared" si="245"/>
        <v>0</v>
      </c>
      <c r="W551" s="104">
        <f t="shared" si="245"/>
        <v>0</v>
      </c>
      <c r="X551" s="104">
        <f t="shared" si="245"/>
        <v>0</v>
      </c>
      <c r="Y551" s="104">
        <f t="shared" si="245"/>
        <v>0</v>
      </c>
      <c r="Z551" s="104">
        <f t="shared" si="245"/>
        <v>0</v>
      </c>
    </row>
    <row r="552" spans="1:26" ht="19.5" customHeight="1" x14ac:dyDescent="0.2">
      <c r="B552" s="250" t="s">
        <v>52</v>
      </c>
      <c r="C552" s="34" t="s">
        <v>176</v>
      </c>
      <c r="D552" s="10" t="s">
        <v>83</v>
      </c>
      <c r="E552" s="10" t="s">
        <v>83</v>
      </c>
      <c r="F552" s="10" t="s">
        <v>83</v>
      </c>
      <c r="G552" s="21" t="s">
        <v>274</v>
      </c>
      <c r="H552" s="11" t="s">
        <v>83</v>
      </c>
      <c r="I552" s="198" t="s">
        <v>53</v>
      </c>
      <c r="J552" s="12"/>
      <c r="K552" s="13"/>
      <c r="L552" s="104">
        <f t="shared" si="245"/>
        <v>58800000</v>
      </c>
      <c r="M552" s="104">
        <f t="shared" si="245"/>
        <v>0</v>
      </c>
      <c r="N552" s="104">
        <f t="shared" si="245"/>
        <v>58800000</v>
      </c>
      <c r="O552" s="104">
        <f t="shared" si="245"/>
        <v>0</v>
      </c>
      <c r="P552" s="104">
        <f t="shared" si="245"/>
        <v>0</v>
      </c>
      <c r="Q552" s="104">
        <f t="shared" si="245"/>
        <v>-58800000</v>
      </c>
      <c r="R552" s="104">
        <f t="shared" si="245"/>
        <v>0</v>
      </c>
      <c r="S552" s="104">
        <f t="shared" si="245"/>
        <v>0</v>
      </c>
      <c r="T552" s="104">
        <f t="shared" si="245"/>
        <v>0</v>
      </c>
      <c r="U552" s="104">
        <f t="shared" si="245"/>
        <v>0</v>
      </c>
      <c r="V552" s="104">
        <f t="shared" si="245"/>
        <v>0</v>
      </c>
      <c r="W552" s="104">
        <f t="shared" si="245"/>
        <v>0</v>
      </c>
      <c r="X552" s="104">
        <f t="shared" si="245"/>
        <v>0</v>
      </c>
      <c r="Y552" s="104">
        <f t="shared" si="245"/>
        <v>0</v>
      </c>
      <c r="Z552" s="104">
        <f t="shared" si="245"/>
        <v>0</v>
      </c>
    </row>
    <row r="553" spans="1:26" ht="20.25" customHeight="1" x14ac:dyDescent="0.2">
      <c r="B553" s="271" t="s">
        <v>40</v>
      </c>
      <c r="C553" s="47" t="s">
        <v>176</v>
      </c>
      <c r="D553" s="26" t="s">
        <v>83</v>
      </c>
      <c r="E553" s="26" t="s">
        <v>83</v>
      </c>
      <c r="F553" s="26" t="s">
        <v>83</v>
      </c>
      <c r="G553" s="25" t="s">
        <v>274</v>
      </c>
      <c r="H553" s="28" t="s">
        <v>83</v>
      </c>
      <c r="I553" s="195" t="s">
        <v>134</v>
      </c>
      <c r="J553" s="29"/>
      <c r="K553" s="30"/>
      <c r="L553" s="216">
        <v>58800000</v>
      </c>
      <c r="M553" s="216">
        <v>0</v>
      </c>
      <c r="N553" s="216">
        <v>58800000</v>
      </c>
      <c r="O553" s="216">
        <v>0</v>
      </c>
      <c r="P553" s="216">
        <v>0</v>
      </c>
      <c r="Q553" s="216">
        <v>-58800000</v>
      </c>
      <c r="R553" s="216">
        <f>Q553+N553</f>
        <v>0</v>
      </c>
      <c r="S553" s="216">
        <v>0</v>
      </c>
      <c r="T553" s="216">
        <v>0</v>
      </c>
      <c r="U553" s="216">
        <v>0</v>
      </c>
      <c r="V553" s="216">
        <v>0</v>
      </c>
      <c r="W553" s="216">
        <v>0</v>
      </c>
      <c r="X553" s="216">
        <v>0</v>
      </c>
      <c r="Y553" s="216">
        <v>0</v>
      </c>
      <c r="Z553" s="216">
        <v>0</v>
      </c>
    </row>
    <row r="554" spans="1:26" ht="24.75" customHeight="1" x14ac:dyDescent="0.2">
      <c r="B554" s="240" t="s">
        <v>168</v>
      </c>
      <c r="C554" s="120"/>
      <c r="D554" s="121"/>
      <c r="E554" s="49"/>
      <c r="F554" s="49"/>
      <c r="G554" s="239"/>
      <c r="H554" s="26"/>
      <c r="I554" s="123"/>
      <c r="J554" s="155"/>
      <c r="K554" s="153"/>
      <c r="L554" s="153"/>
      <c r="M554" s="153"/>
      <c r="N554" s="153"/>
      <c r="O554" s="274">
        <v>32000000</v>
      </c>
      <c r="P554" s="274">
        <v>0</v>
      </c>
      <c r="Q554" s="153"/>
      <c r="R554" s="153"/>
      <c r="S554" s="274">
        <v>32000000</v>
      </c>
      <c r="T554" s="275">
        <v>17000000</v>
      </c>
      <c r="U554" s="275">
        <v>0</v>
      </c>
      <c r="V554" s="274">
        <v>0</v>
      </c>
      <c r="W554" s="274">
        <v>32000000</v>
      </c>
      <c r="X554" s="275">
        <v>17000000</v>
      </c>
      <c r="Y554" s="275">
        <v>0</v>
      </c>
      <c r="Z554" s="275">
        <v>17000000</v>
      </c>
    </row>
    <row r="555" spans="1:26" ht="36.75" customHeight="1" x14ac:dyDescent="0.2">
      <c r="B555" s="241" t="s">
        <v>26</v>
      </c>
      <c r="C555" s="306"/>
      <c r="D555" s="307"/>
      <c r="E555" s="307"/>
      <c r="F555" s="307"/>
      <c r="G555" s="307"/>
      <c r="H555" s="307"/>
      <c r="I555" s="307"/>
      <c r="J555" s="242" t="e">
        <f>J398+J16</f>
        <v>#REF!</v>
      </c>
      <c r="K555" s="243" t="e">
        <f>K398+K16</f>
        <v>#REF!</v>
      </c>
      <c r="L555" s="243">
        <f>L398+L16</f>
        <v>1921368507.2600002</v>
      </c>
      <c r="M555" s="243">
        <f>M398+M16</f>
        <v>185103227.78</v>
      </c>
      <c r="N555" s="243">
        <f>N398+N16</f>
        <v>2106471735.04</v>
      </c>
      <c r="O555" s="242">
        <f>O398+O16+O554</f>
        <v>2370397433.52</v>
      </c>
      <c r="P555" s="242">
        <f>P398+P16+P554</f>
        <v>26459035.860000003</v>
      </c>
      <c r="Q555" s="243">
        <f>Q398+Q16</f>
        <v>68271583.50999999</v>
      </c>
      <c r="R555" s="243">
        <f>R398+R16</f>
        <v>2174743318.5500002</v>
      </c>
      <c r="S555" s="242">
        <f t="shared" ref="S555:Z555" si="246">S398+S16+S554</f>
        <v>2166935336.9899998</v>
      </c>
      <c r="T555" s="244">
        <f t="shared" si="246"/>
        <v>2195831692.6100001</v>
      </c>
      <c r="U555" s="244">
        <f t="shared" si="246"/>
        <v>-13126327.76</v>
      </c>
      <c r="V555" s="242">
        <f t="shared" si="246"/>
        <v>32784324.57</v>
      </c>
      <c r="W555" s="242">
        <f t="shared" si="246"/>
        <v>2199719661.5599999</v>
      </c>
      <c r="X555" s="244">
        <f t="shared" si="246"/>
        <v>2018365352.4299998</v>
      </c>
      <c r="Y555" s="244">
        <f t="shared" si="246"/>
        <v>107007166.05000001</v>
      </c>
      <c r="Z555" s="244">
        <f t="shared" si="246"/>
        <v>2125372518.4799995</v>
      </c>
    </row>
    <row r="556" spans="1:26" x14ac:dyDescent="0.2">
      <c r="S556" s="297"/>
      <c r="T556" s="297"/>
      <c r="U556" s="297"/>
      <c r="V556" s="297"/>
      <c r="X556" s="297"/>
      <c r="Y556" s="297"/>
    </row>
    <row r="557" spans="1:26" x14ac:dyDescent="0.2">
      <c r="S557" s="297"/>
      <c r="T557" s="297"/>
      <c r="U557" s="297"/>
      <c r="V557" s="297"/>
      <c r="W557" s="247"/>
      <c r="X557" s="299"/>
      <c r="Y557" s="299"/>
      <c r="Z557" s="247"/>
    </row>
    <row r="558" spans="1:26" x14ac:dyDescent="0.2">
      <c r="M558" s="285"/>
      <c r="S558" s="297"/>
      <c r="T558" s="297"/>
      <c r="U558" s="297"/>
      <c r="V558" s="297"/>
      <c r="X558" s="297"/>
      <c r="Y558" s="297"/>
    </row>
    <row r="559" spans="1:26" x14ac:dyDescent="0.2">
      <c r="A559" s="56"/>
      <c r="J559" s="246"/>
      <c r="K559" s="246"/>
      <c r="L559" s="52"/>
      <c r="M559" s="52"/>
      <c r="N559" s="52"/>
      <c r="O559" s="52"/>
      <c r="P559" s="52"/>
      <c r="Q559" s="52"/>
      <c r="R559" s="52"/>
      <c r="S559" s="298"/>
      <c r="T559" s="298"/>
      <c r="U559" s="297"/>
      <c r="V559" s="297"/>
      <c r="X559" s="297"/>
      <c r="Y559" s="297"/>
    </row>
    <row r="560" spans="1:26" x14ac:dyDescent="0.2">
      <c r="L560" s="247"/>
      <c r="M560" s="247"/>
      <c r="N560" s="247"/>
      <c r="O560" s="247"/>
      <c r="P560" s="247"/>
      <c r="Q560" s="247"/>
      <c r="R560" s="247"/>
      <c r="S560" s="299"/>
      <c r="T560" s="299"/>
      <c r="U560" s="297"/>
      <c r="V560" s="297"/>
      <c r="X560" s="297"/>
      <c r="Y560" s="297"/>
    </row>
    <row r="561" spans="9:25" x14ac:dyDescent="0.2">
      <c r="L561" s="247"/>
      <c r="M561" s="247"/>
      <c r="N561" s="247"/>
      <c r="O561" s="247"/>
      <c r="P561" s="247"/>
      <c r="Q561" s="247"/>
      <c r="R561" s="247"/>
      <c r="S561" s="299"/>
      <c r="T561" s="299"/>
      <c r="U561" s="297"/>
      <c r="V561" s="297"/>
      <c r="X561" s="297"/>
      <c r="Y561" s="297"/>
    </row>
    <row r="562" spans="9:25" x14ac:dyDescent="0.2">
      <c r="L562" s="247"/>
      <c r="M562" s="247"/>
      <c r="N562" s="247"/>
      <c r="O562" s="247"/>
      <c r="P562" s="247"/>
      <c r="Q562" s="247"/>
      <c r="R562" s="247"/>
      <c r="S562" s="299"/>
      <c r="T562" s="299"/>
      <c r="U562" s="297"/>
      <c r="V562" s="297"/>
      <c r="X562" s="297"/>
      <c r="Y562" s="297"/>
    </row>
    <row r="563" spans="9:25" x14ac:dyDescent="0.2">
      <c r="I563" s="248"/>
      <c r="J563" s="249"/>
      <c r="K563" s="249"/>
      <c r="L563" s="249"/>
      <c r="M563" s="249"/>
      <c r="N563" s="249"/>
      <c r="O563" s="249"/>
      <c r="P563" s="249"/>
      <c r="Q563" s="249"/>
      <c r="R563" s="249"/>
      <c r="S563" s="300"/>
      <c r="T563" s="300"/>
      <c r="U563" s="297"/>
      <c r="V563" s="297"/>
      <c r="X563" s="297"/>
      <c r="Y563" s="297"/>
    </row>
    <row r="564" spans="9:25" x14ac:dyDescent="0.2">
      <c r="I564" s="248"/>
      <c r="J564" s="249"/>
      <c r="K564" s="249"/>
      <c r="L564" s="40"/>
      <c r="M564" s="40"/>
      <c r="N564" s="40"/>
      <c r="O564" s="40"/>
      <c r="P564" s="40"/>
      <c r="Q564" s="40"/>
      <c r="R564" s="40"/>
      <c r="S564" s="40"/>
      <c r="T564" s="40"/>
    </row>
  </sheetData>
  <protectedRanges>
    <protectedRange sqref="B90" name="Диапазон1_3_2"/>
    <protectedRange sqref="B99" name="Диапазон1_3"/>
  </protectedRanges>
  <mergeCells count="13">
    <mergeCell ref="J12:Z12"/>
    <mergeCell ref="I1:W1"/>
    <mergeCell ref="I2:W2"/>
    <mergeCell ref="J3:W3"/>
    <mergeCell ref="L6:W6"/>
    <mergeCell ref="L7:W7"/>
    <mergeCell ref="L8:W8"/>
    <mergeCell ref="B10:Z10"/>
    <mergeCell ref="C555:I555"/>
    <mergeCell ref="C14:H14"/>
    <mergeCell ref="C12:H13"/>
    <mergeCell ref="B12:B13"/>
    <mergeCell ref="I12:I13"/>
  </mergeCells>
  <phoneticPr fontId="9" type="noConversion"/>
  <pageMargins left="0.74803149606299213" right="0.59055118110236227" top="0.31496062992125984" bottom="0.39370078740157483" header="0.31496062992125984" footer="0.51181102362204722"/>
  <pageSetup paperSize="9" scale="53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Ольга Балашова</cp:lastModifiedBy>
  <cp:lastPrinted>2024-02-15T08:23:28Z</cp:lastPrinted>
  <dcterms:created xsi:type="dcterms:W3CDTF">1996-10-08T23:32:33Z</dcterms:created>
  <dcterms:modified xsi:type="dcterms:W3CDTF">2024-04-24T12:51:51Z</dcterms:modified>
</cp:coreProperties>
</file>